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6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8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9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F:\NPO研究\信用生協五十年史\原稿\冊子非掲載分\(2)信用生協\3.統計資料\"/>
    </mc:Choice>
  </mc:AlternateContent>
  <xr:revisionPtr revIDLastSave="0" documentId="13_ncr:1_{D92EAA80-8DF6-45A3-B17C-2A9786364932}" xr6:coauthVersionLast="46" xr6:coauthVersionMax="46" xr10:uidLastSave="{00000000-0000-0000-0000-000000000000}"/>
  <bookViews>
    <workbookView xWindow="-110" yWindow="-110" windowWidth="19420" windowHeight="10420" tabRatio="758" firstSheet="5" activeTab="10" xr2:uid="{00000000-000D-0000-FFFF-FFFF00000000}"/>
  </bookViews>
  <sheets>
    <sheet name="Sheet1" sheetId="1" r:id="rId1"/>
    <sheet name="Sheet2" sheetId="2" r:id="rId2"/>
    <sheet name="主要経営指標グラフ" sheetId="49" r:id="rId3"/>
    <sheet name="期中純増減推移グラフ" sheetId="50" r:id="rId4"/>
    <sheet name="期末残高推移グラフ" sheetId="51" r:id="rId5"/>
    <sheet name="1件平均貸付額グラフ" sheetId="53" r:id="rId6"/>
    <sheet name="利息収入推移グラフ" sheetId="52" r:id="rId7"/>
    <sheet name="償却率・剰余金比率" sheetId="56" r:id="rId8"/>
    <sheet name="借入利息・人件費率・物件費率" sheetId="57" r:id="rId9"/>
    <sheet name="出資金・剰余金" sheetId="58" r:id="rId10"/>
    <sheet name="グラフ集" sheetId="54" r:id="rId11"/>
    <sheet name="Sheet3" sheetId="55" r:id="rId12"/>
    <sheet name="1971" sheetId="3" r:id="rId13"/>
    <sheet name="1974" sheetId="4" r:id="rId14"/>
    <sheet name="1975" sheetId="5" r:id="rId15"/>
    <sheet name="1976" sheetId="6" r:id="rId16"/>
    <sheet name="1977" sheetId="7" r:id="rId17"/>
    <sheet name="1978" sheetId="8" r:id="rId18"/>
    <sheet name="1979" sheetId="9" r:id="rId19"/>
    <sheet name="1980" sheetId="10" r:id="rId20"/>
    <sheet name="1981" sheetId="11" r:id="rId21"/>
    <sheet name="1982" sheetId="12" r:id="rId22"/>
    <sheet name="1983" sheetId="13" r:id="rId23"/>
    <sheet name="1984" sheetId="14" r:id="rId24"/>
    <sheet name="1985" sheetId="15" r:id="rId25"/>
    <sheet name="1986" sheetId="16" r:id="rId26"/>
    <sheet name="1987" sheetId="17" r:id="rId27"/>
    <sheet name="1988" sheetId="18" r:id="rId28"/>
    <sheet name="1989" sheetId="19" r:id="rId29"/>
    <sheet name="1990" sheetId="20" r:id="rId30"/>
    <sheet name="1991" sheetId="21" r:id="rId31"/>
    <sheet name="1992" sheetId="22" r:id="rId32"/>
    <sheet name="1993" sheetId="23" r:id="rId33"/>
    <sheet name="1994" sheetId="24" r:id="rId34"/>
    <sheet name="1995" sheetId="25" r:id="rId35"/>
    <sheet name="1996" sheetId="26" r:id="rId36"/>
    <sheet name="1997" sheetId="27" r:id="rId37"/>
    <sheet name="1998" sheetId="28" r:id="rId38"/>
    <sheet name="1999" sheetId="29" r:id="rId39"/>
    <sheet name="2000" sheetId="30" r:id="rId40"/>
    <sheet name="2001" sheetId="31" r:id="rId41"/>
    <sheet name="2002" sheetId="32" r:id="rId42"/>
    <sheet name="2003" sheetId="33" r:id="rId43"/>
    <sheet name="2004" sheetId="34" r:id="rId44"/>
    <sheet name="2005" sheetId="35" r:id="rId45"/>
    <sheet name="2006" sheetId="36" r:id="rId46"/>
    <sheet name="2007" sheetId="37" r:id="rId47"/>
    <sheet name="2008" sheetId="38" r:id="rId48"/>
    <sheet name="2009" sheetId="39" r:id="rId49"/>
    <sheet name="2010" sheetId="40" r:id="rId50"/>
    <sheet name="2011" sheetId="41" r:id="rId51"/>
    <sheet name="2012" sheetId="42" r:id="rId52"/>
    <sheet name="2013" sheetId="43" r:id="rId53"/>
    <sheet name="2014" sheetId="44" r:id="rId54"/>
    <sheet name="2015" sheetId="45" r:id="rId55"/>
    <sheet name="2016" sheetId="46" r:id="rId56"/>
    <sheet name="2017" sheetId="47" r:id="rId57"/>
    <sheet name="2018" sheetId="48" r:id="rId58"/>
  </sheets>
  <externalReferences>
    <externalReference r:id="rId59"/>
    <externalReference r:id="rId60"/>
    <externalReference r:id="rId61"/>
  </externalReferences>
  <definedNames>
    <definedName name="_xlnm.Print_Area" localSheetId="5">'1件平均貸付額グラフ'!$A$2:$AR$62</definedName>
    <definedName name="_xlnm.Print_Area" localSheetId="1">Sheet2!$A$1:$OY$63</definedName>
    <definedName name="_xlnm.Print_Area" localSheetId="3">期中純増減推移グラフ!$A$2:$AR$62</definedName>
    <definedName name="_xlnm.Print_Area" localSheetId="4">期末残高推移グラフ!$A$2:$AT$62</definedName>
    <definedName name="_xlnm.Print_Area" localSheetId="6">利息収入推移グラフ!$A$2:$AP$62</definedName>
    <definedName name="_xlnm.Print_Titles" localSheetId="5">'1件平均貸付額グラフ'!$A:$A</definedName>
    <definedName name="_xlnm.Print_Titles" localSheetId="0">Sheet1!$A:$A</definedName>
    <definedName name="_xlnm.Print_Titles" localSheetId="1">Sheet2!$A:$A</definedName>
    <definedName name="_xlnm.Print_Titles" localSheetId="3">期中純増減推移グラフ!$A:$A</definedName>
    <definedName name="_xlnm.Print_Titles" localSheetId="4">期末残高推移グラフ!$A:$A</definedName>
    <definedName name="_xlnm.Print_Titles" localSheetId="2">主要経営指標グラフ!$A:$A</definedName>
    <definedName name="_xlnm.Print_Titles" localSheetId="6">利息収入推移グラフ!$A:$A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7" i="58" l="1"/>
  <c r="AC37" i="58"/>
  <c r="AB37" i="58"/>
  <c r="AA37" i="58"/>
  <c r="Z37" i="58"/>
  <c r="AE37" i="58" s="1"/>
  <c r="AD36" i="58"/>
  <c r="AC36" i="58"/>
  <c r="AB36" i="58"/>
  <c r="AA36" i="58"/>
  <c r="AE36" i="58" s="1"/>
  <c r="Z36" i="58"/>
  <c r="AD35" i="58"/>
  <c r="AC35" i="58"/>
  <c r="AB35" i="58"/>
  <c r="AA35" i="58"/>
  <c r="Z35" i="58"/>
  <c r="AP46" i="57"/>
  <c r="AO46" i="57"/>
  <c r="AH46" i="57"/>
  <c r="AG46" i="57"/>
  <c r="Z46" i="57"/>
  <c r="Y46" i="57"/>
  <c r="R46" i="57"/>
  <c r="Q46" i="57"/>
  <c r="I46" i="57"/>
  <c r="AV45" i="57"/>
  <c r="AU45" i="57"/>
  <c r="AF45" i="57"/>
  <c r="AE45" i="57"/>
  <c r="P45" i="57"/>
  <c r="AT44" i="57"/>
  <c r="AS44" i="57"/>
  <c r="AL44" i="57"/>
  <c r="AK44" i="57"/>
  <c r="AD44" i="57"/>
  <c r="AC44" i="57"/>
  <c r="V44" i="57"/>
  <c r="U44" i="57"/>
  <c r="N44" i="57"/>
  <c r="M44" i="57"/>
  <c r="F44" i="57"/>
  <c r="E44" i="57"/>
  <c r="AR43" i="57"/>
  <c r="AQ43" i="57"/>
  <c r="AB43" i="57"/>
  <c r="AA43" i="57"/>
  <c r="L43" i="57"/>
  <c r="K43" i="57"/>
  <c r="AP42" i="57"/>
  <c r="AO42" i="57"/>
  <c r="AH42" i="57"/>
  <c r="AG42" i="57"/>
  <c r="Z42" i="57"/>
  <c r="Y42" i="57"/>
  <c r="R42" i="57"/>
  <c r="Q42" i="57"/>
  <c r="J42" i="57"/>
  <c r="I42" i="57"/>
  <c r="AN41" i="57"/>
  <c r="AM41" i="57"/>
  <c r="X41" i="57"/>
  <c r="W41" i="57"/>
  <c r="H41" i="57"/>
  <c r="G41" i="57"/>
  <c r="AT40" i="57"/>
  <c r="AS40" i="57"/>
  <c r="AL40" i="57"/>
  <c r="AK40" i="57"/>
  <c r="AD40" i="57"/>
  <c r="AC40" i="57"/>
  <c r="V40" i="57"/>
  <c r="U40" i="57"/>
  <c r="N40" i="57"/>
  <c r="M40" i="57"/>
  <c r="F40" i="57"/>
  <c r="E40" i="57"/>
  <c r="AT39" i="57"/>
  <c r="AM39" i="57"/>
  <c r="AI39" i="57"/>
  <c r="AH39" i="57"/>
  <c r="AD39" i="57"/>
  <c r="AC39" i="57"/>
  <c r="Z39" i="57"/>
  <c r="V39" i="57"/>
  <c r="U39" i="57"/>
  <c r="R39" i="57"/>
  <c r="N39" i="57"/>
  <c r="M39" i="57"/>
  <c r="J39" i="57"/>
  <c r="F39" i="57"/>
  <c r="E39" i="57"/>
  <c r="AV38" i="57"/>
  <c r="AU38" i="57"/>
  <c r="AT38" i="57"/>
  <c r="AS38" i="57"/>
  <c r="AR38" i="57"/>
  <c r="AQ38" i="57"/>
  <c r="AP38" i="57"/>
  <c r="AO38" i="57"/>
  <c r="AN38" i="57"/>
  <c r="AM38" i="57"/>
  <c r="AL38" i="57"/>
  <c r="AK38" i="57"/>
  <c r="AJ38" i="57"/>
  <c r="AI38" i="57"/>
  <c r="AH38" i="57"/>
  <c r="AG38" i="57"/>
  <c r="AF38" i="57"/>
  <c r="AE38" i="57"/>
  <c r="AD38" i="57"/>
  <c r="AC38" i="57"/>
  <c r="AB38" i="57"/>
  <c r="AA38" i="57"/>
  <c r="Z38" i="57"/>
  <c r="Y38" i="57"/>
  <c r="X38" i="57"/>
  <c r="W38" i="57"/>
  <c r="V38" i="57"/>
  <c r="U38" i="57"/>
  <c r="T38" i="57"/>
  <c r="S38" i="57"/>
  <c r="R38" i="57"/>
  <c r="Q38" i="57"/>
  <c r="P38" i="57"/>
  <c r="O38" i="57"/>
  <c r="N38" i="57"/>
  <c r="M38" i="57"/>
  <c r="L38" i="57"/>
  <c r="K38" i="57"/>
  <c r="J38" i="57"/>
  <c r="J44" i="57" s="1"/>
  <c r="I38" i="57"/>
  <c r="I44" i="57" s="1"/>
  <c r="H38" i="57"/>
  <c r="G38" i="57"/>
  <c r="F38" i="57"/>
  <c r="E38" i="57"/>
  <c r="D38" i="57"/>
  <c r="C38" i="57"/>
  <c r="AV37" i="57"/>
  <c r="AU37" i="57"/>
  <c r="AT37" i="57"/>
  <c r="AS37" i="57"/>
  <c r="AR37" i="57"/>
  <c r="AQ37" i="57"/>
  <c r="AP37" i="57"/>
  <c r="AO37" i="57"/>
  <c r="AN37" i="57"/>
  <c r="AM37" i="57"/>
  <c r="AL37" i="57"/>
  <c r="AK37" i="57"/>
  <c r="AJ37" i="57"/>
  <c r="AI37" i="57"/>
  <c r="AH37" i="57"/>
  <c r="AG37" i="57"/>
  <c r="AF37" i="57"/>
  <c r="AE37" i="57"/>
  <c r="AD37" i="57"/>
  <c r="AC37" i="57"/>
  <c r="AB37" i="57"/>
  <c r="AA37" i="57"/>
  <c r="Z37" i="57"/>
  <c r="Y37" i="57"/>
  <c r="X37" i="57"/>
  <c r="W37" i="57"/>
  <c r="V37" i="57"/>
  <c r="U37" i="57"/>
  <c r="T37" i="57"/>
  <c r="S37" i="57"/>
  <c r="R37" i="57"/>
  <c r="Q37" i="57"/>
  <c r="M37" i="57"/>
  <c r="I37" i="57"/>
  <c r="E37" i="57"/>
  <c r="AV36" i="57"/>
  <c r="AU36" i="57"/>
  <c r="AT36" i="57"/>
  <c r="AS36" i="57"/>
  <c r="AR36" i="57"/>
  <c r="AQ36" i="57"/>
  <c r="AP36" i="57"/>
  <c r="AO36" i="57"/>
  <c r="AN36" i="57"/>
  <c r="AM36" i="57"/>
  <c r="AL36" i="57"/>
  <c r="AK36" i="57"/>
  <c r="AJ36" i="57"/>
  <c r="AI36" i="57"/>
  <c r="AH36" i="57"/>
  <c r="AG36" i="57"/>
  <c r="AF36" i="57"/>
  <c r="AE36" i="57"/>
  <c r="AD36" i="57"/>
  <c r="AC36" i="57"/>
  <c r="AB36" i="57"/>
  <c r="AA36" i="57"/>
  <c r="Z36" i="57"/>
  <c r="Y36" i="57"/>
  <c r="X36" i="57"/>
  <c r="W36" i="57"/>
  <c r="V36" i="57"/>
  <c r="U36" i="57"/>
  <c r="T36" i="57"/>
  <c r="S36" i="57"/>
  <c r="R36" i="57"/>
  <c r="Q36" i="57"/>
  <c r="P36" i="57"/>
  <c r="L36" i="57"/>
  <c r="H36" i="57"/>
  <c r="E36" i="57"/>
  <c r="D36" i="57"/>
  <c r="C36" i="57"/>
  <c r="B36" i="57"/>
  <c r="AV35" i="57"/>
  <c r="AV42" i="57" s="1"/>
  <c r="AU35" i="57"/>
  <c r="AU42" i="57" s="1"/>
  <c r="AT35" i="57"/>
  <c r="AT42" i="57" s="1"/>
  <c r="AS35" i="57"/>
  <c r="AS42" i="57" s="1"/>
  <c r="AR35" i="57"/>
  <c r="AR42" i="57" s="1"/>
  <c r="AQ35" i="57"/>
  <c r="AQ42" i="57" s="1"/>
  <c r="AP35" i="57"/>
  <c r="AO35" i="57"/>
  <c r="AN35" i="57"/>
  <c r="AN42" i="57" s="1"/>
  <c r="AM35" i="57"/>
  <c r="AM42" i="57" s="1"/>
  <c r="AL35" i="57"/>
  <c r="AL42" i="57" s="1"/>
  <c r="AK35" i="57"/>
  <c r="AK42" i="57" s="1"/>
  <c r="AJ35" i="57"/>
  <c r="AJ42" i="57" s="1"/>
  <c r="AI35" i="57"/>
  <c r="AI42" i="57" s="1"/>
  <c r="AH35" i="57"/>
  <c r="AG35" i="57"/>
  <c r="AF35" i="57"/>
  <c r="AF42" i="57" s="1"/>
  <c r="AE35" i="57"/>
  <c r="AE42" i="57" s="1"/>
  <c r="AD35" i="57"/>
  <c r="AD42" i="57" s="1"/>
  <c r="AC35" i="57"/>
  <c r="AC42" i="57" s="1"/>
  <c r="AB35" i="57"/>
  <c r="AB42" i="57" s="1"/>
  <c r="AA35" i="57"/>
  <c r="AA42" i="57" s="1"/>
  <c r="Z35" i="57"/>
  <c r="Y35" i="57"/>
  <c r="X35" i="57"/>
  <c r="X42" i="57" s="1"/>
  <c r="W35" i="57"/>
  <c r="W42" i="57" s="1"/>
  <c r="V35" i="57"/>
  <c r="V42" i="57" s="1"/>
  <c r="U35" i="57"/>
  <c r="U42" i="57" s="1"/>
  <c r="T35" i="57"/>
  <c r="T42" i="57" s="1"/>
  <c r="S35" i="57"/>
  <c r="S42" i="57" s="1"/>
  <c r="R35" i="57"/>
  <c r="Q35" i="57"/>
  <c r="P35" i="57"/>
  <c r="P42" i="57" s="1"/>
  <c r="O35" i="57"/>
  <c r="O42" i="57" s="1"/>
  <c r="N35" i="57"/>
  <c r="N42" i="57" s="1"/>
  <c r="M35" i="57"/>
  <c r="M42" i="57" s="1"/>
  <c r="L35" i="57"/>
  <c r="L42" i="57" s="1"/>
  <c r="K35" i="57"/>
  <c r="K42" i="57" s="1"/>
  <c r="J35" i="57"/>
  <c r="I35" i="57"/>
  <c r="H35" i="57"/>
  <c r="H42" i="57" s="1"/>
  <c r="G35" i="57"/>
  <c r="G42" i="57" s="1"/>
  <c r="F35" i="57"/>
  <c r="F42" i="57" s="1"/>
  <c r="E35" i="57"/>
  <c r="E42" i="57" s="1"/>
  <c r="D35" i="57"/>
  <c r="D42" i="57" s="1"/>
  <c r="C35" i="57"/>
  <c r="C42" i="57" s="1"/>
  <c r="B35" i="57"/>
  <c r="AV34" i="57"/>
  <c r="AU34" i="57"/>
  <c r="AU41" i="57" s="1"/>
  <c r="AT34" i="57"/>
  <c r="AT41" i="57" s="1"/>
  <c r="AS34" i="57"/>
  <c r="AS41" i="57" s="1"/>
  <c r="AR34" i="57"/>
  <c r="AR41" i="57" s="1"/>
  <c r="AQ34" i="57"/>
  <c r="AQ41" i="57" s="1"/>
  <c r="AP34" i="57"/>
  <c r="AP41" i="57" s="1"/>
  <c r="AO34" i="57"/>
  <c r="AO41" i="57" s="1"/>
  <c r="AN34" i="57"/>
  <c r="AM34" i="57"/>
  <c r="AL34" i="57"/>
  <c r="AL41" i="57" s="1"/>
  <c r="AK34" i="57"/>
  <c r="AK41" i="57" s="1"/>
  <c r="AJ34" i="57"/>
  <c r="AJ41" i="57" s="1"/>
  <c r="AI34" i="57"/>
  <c r="AI41" i="57" s="1"/>
  <c r="AH34" i="57"/>
  <c r="AH41" i="57" s="1"/>
  <c r="AG34" i="57"/>
  <c r="AG41" i="57" s="1"/>
  <c r="AF34" i="57"/>
  <c r="AE34" i="57"/>
  <c r="AE41" i="57" s="1"/>
  <c r="AD34" i="57"/>
  <c r="AD41" i="57" s="1"/>
  <c r="AC34" i="57"/>
  <c r="AC41" i="57" s="1"/>
  <c r="AB34" i="57"/>
  <c r="AB41" i="57" s="1"/>
  <c r="AA34" i="57"/>
  <c r="AA41" i="57" s="1"/>
  <c r="Z34" i="57"/>
  <c r="Z41" i="57" s="1"/>
  <c r="Y34" i="57"/>
  <c r="Y41" i="57" s="1"/>
  <c r="X34" i="57"/>
  <c r="W34" i="57"/>
  <c r="V34" i="57"/>
  <c r="V41" i="57" s="1"/>
  <c r="U34" i="57"/>
  <c r="U41" i="57" s="1"/>
  <c r="T34" i="57"/>
  <c r="T41" i="57" s="1"/>
  <c r="S34" i="57"/>
  <c r="S41" i="57" s="1"/>
  <c r="R34" i="57"/>
  <c r="R41" i="57" s="1"/>
  <c r="Q34" i="57"/>
  <c r="Q41" i="57" s="1"/>
  <c r="P34" i="57"/>
  <c r="O34" i="57"/>
  <c r="O41" i="57" s="1"/>
  <c r="N34" i="57"/>
  <c r="N41" i="57" s="1"/>
  <c r="M34" i="57"/>
  <c r="M41" i="57" s="1"/>
  <c r="L34" i="57"/>
  <c r="L41" i="57" s="1"/>
  <c r="K34" i="57"/>
  <c r="K41" i="57" s="1"/>
  <c r="J34" i="57"/>
  <c r="J41" i="57" s="1"/>
  <c r="I34" i="57"/>
  <c r="I41" i="57" s="1"/>
  <c r="H34" i="57"/>
  <c r="G34" i="57"/>
  <c r="F34" i="57"/>
  <c r="F41" i="57" s="1"/>
  <c r="E34" i="57"/>
  <c r="E41" i="57" s="1"/>
  <c r="D34" i="57"/>
  <c r="D41" i="57" s="1"/>
  <c r="C34" i="57"/>
  <c r="C41" i="57" s="1"/>
  <c r="B34" i="57"/>
  <c r="AV31" i="57"/>
  <c r="AU31" i="57"/>
  <c r="AT31" i="57"/>
  <c r="AS31" i="57"/>
  <c r="AR31" i="57"/>
  <c r="AQ31" i="57"/>
  <c r="AP31" i="57"/>
  <c r="AO31" i="57"/>
  <c r="AN31" i="57"/>
  <c r="AM31" i="57"/>
  <c r="AL31" i="57"/>
  <c r="AK31" i="57"/>
  <c r="AJ31" i="57"/>
  <c r="AI31" i="57"/>
  <c r="AH31" i="57"/>
  <c r="AG31" i="57"/>
  <c r="AF31" i="57"/>
  <c r="AE31" i="57"/>
  <c r="AD31" i="57"/>
  <c r="AC31" i="57"/>
  <c r="AB31" i="57"/>
  <c r="AA31" i="57"/>
  <c r="Z31" i="57"/>
  <c r="Y31" i="57"/>
  <c r="X31" i="57"/>
  <c r="W31" i="57"/>
  <c r="V31" i="57"/>
  <c r="U31" i="57"/>
  <c r="T31" i="57"/>
  <c r="S31" i="57"/>
  <c r="R31" i="57"/>
  <c r="Q31" i="57"/>
  <c r="P31" i="57"/>
  <c r="O31" i="57"/>
  <c r="N31" i="57"/>
  <c r="M31" i="57"/>
  <c r="L31" i="57"/>
  <c r="K31" i="57"/>
  <c r="J31" i="57"/>
  <c r="I31" i="57"/>
  <c r="H31" i="57"/>
  <c r="G31" i="57"/>
  <c r="F31" i="57"/>
  <c r="E31" i="57"/>
  <c r="D31" i="57"/>
  <c r="C31" i="57"/>
  <c r="B31" i="57"/>
  <c r="AV27" i="57"/>
  <c r="AV26" i="57"/>
  <c r="N26" i="57"/>
  <c r="N8" i="57" s="1"/>
  <c r="M26" i="57"/>
  <c r="L26" i="57"/>
  <c r="K26" i="57"/>
  <c r="K8" i="57" s="1"/>
  <c r="J26" i="57"/>
  <c r="J8" i="57" s="1"/>
  <c r="I26" i="57"/>
  <c r="B26" i="57"/>
  <c r="AV25" i="57"/>
  <c r="AV23" i="57"/>
  <c r="AV39" i="57" s="1"/>
  <c r="AU23" i="57"/>
  <c r="AU39" i="57" s="1"/>
  <c r="AT23" i="57"/>
  <c r="AS23" i="57"/>
  <c r="AS39" i="57" s="1"/>
  <c r="AR23" i="57"/>
  <c r="AR39" i="57" s="1"/>
  <c r="AQ23" i="57"/>
  <c r="AQ39" i="57" s="1"/>
  <c r="AP23" i="57"/>
  <c r="AP39" i="57" s="1"/>
  <c r="AO23" i="57"/>
  <c r="AO39" i="57" s="1"/>
  <c r="AN23" i="57"/>
  <c r="AN39" i="57" s="1"/>
  <c r="AM23" i="57"/>
  <c r="AL23" i="57"/>
  <c r="AL39" i="57" s="1"/>
  <c r="AK23" i="57"/>
  <c r="AK39" i="57" s="1"/>
  <c r="AJ23" i="57"/>
  <c r="AJ39" i="57" s="1"/>
  <c r="AI23" i="57"/>
  <c r="AH23" i="57"/>
  <c r="AG23" i="57"/>
  <c r="AG39" i="57" s="1"/>
  <c r="AF23" i="57"/>
  <c r="AF39" i="57" s="1"/>
  <c r="AE23" i="57"/>
  <c r="AE39" i="57" s="1"/>
  <c r="AD23" i="57"/>
  <c r="AC23" i="57"/>
  <c r="AB23" i="57"/>
  <c r="AB39" i="57" s="1"/>
  <c r="AA23" i="57"/>
  <c r="AA39" i="57" s="1"/>
  <c r="Z23" i="57"/>
  <c r="Y23" i="57"/>
  <c r="Y39" i="57" s="1"/>
  <c r="X23" i="57"/>
  <c r="X39" i="57" s="1"/>
  <c r="W23" i="57"/>
  <c r="W39" i="57" s="1"/>
  <c r="V23" i="57"/>
  <c r="U23" i="57"/>
  <c r="T23" i="57"/>
  <c r="T39" i="57" s="1"/>
  <c r="S23" i="57"/>
  <c r="S39" i="57" s="1"/>
  <c r="R23" i="57"/>
  <c r="Q23" i="57"/>
  <c r="Q39" i="57" s="1"/>
  <c r="P23" i="57"/>
  <c r="P39" i="57" s="1"/>
  <c r="O23" i="57"/>
  <c r="O39" i="57" s="1"/>
  <c r="N23" i="57"/>
  <c r="M23" i="57"/>
  <c r="L23" i="57"/>
  <c r="L39" i="57" s="1"/>
  <c r="K23" i="57"/>
  <c r="K39" i="57" s="1"/>
  <c r="J23" i="57"/>
  <c r="I23" i="57"/>
  <c r="I39" i="57" s="1"/>
  <c r="H23" i="57"/>
  <c r="H39" i="57" s="1"/>
  <c r="G23" i="57"/>
  <c r="G39" i="57" s="1"/>
  <c r="F23" i="57"/>
  <c r="E23" i="57"/>
  <c r="D23" i="57"/>
  <c r="D39" i="57" s="1"/>
  <c r="C23" i="57"/>
  <c r="C39" i="57" s="1"/>
  <c r="B23" i="57"/>
  <c r="AV22" i="57"/>
  <c r="AU22" i="57"/>
  <c r="AT22" i="57"/>
  <c r="AS22" i="57"/>
  <c r="AR22" i="57"/>
  <c r="AQ22" i="57"/>
  <c r="AP22" i="57"/>
  <c r="AO22" i="57"/>
  <c r="AN22" i="57"/>
  <c r="AM22" i="57"/>
  <c r="AL22" i="57"/>
  <c r="AK22" i="57"/>
  <c r="AJ22" i="57"/>
  <c r="AI22" i="57"/>
  <c r="AH22" i="57"/>
  <c r="AG22" i="57"/>
  <c r="AF22" i="57"/>
  <c r="AE22" i="57"/>
  <c r="AD22" i="57"/>
  <c r="AC22" i="57"/>
  <c r="AB22" i="57"/>
  <c r="AA22" i="57"/>
  <c r="Z22" i="57"/>
  <c r="Y22" i="57"/>
  <c r="X22" i="57"/>
  <c r="W22" i="57"/>
  <c r="V22" i="57"/>
  <c r="U22" i="57"/>
  <c r="T22" i="57"/>
  <c r="S22" i="57"/>
  <c r="R22" i="57"/>
  <c r="Q22" i="57"/>
  <c r="P22" i="57"/>
  <c r="O22" i="57"/>
  <c r="N22" i="57"/>
  <c r="M22" i="57"/>
  <c r="L22" i="57"/>
  <c r="K22" i="57"/>
  <c r="J22" i="57"/>
  <c r="I22" i="57"/>
  <c r="H22" i="57"/>
  <c r="G22" i="57"/>
  <c r="F22" i="57"/>
  <c r="E22" i="57"/>
  <c r="D22" i="57"/>
  <c r="C22" i="57"/>
  <c r="B22" i="57"/>
  <c r="P19" i="57"/>
  <c r="O19" i="57"/>
  <c r="N19" i="57"/>
  <c r="N18" i="57" s="1"/>
  <c r="M19" i="57"/>
  <c r="M43" i="57" s="1"/>
  <c r="L19" i="57"/>
  <c r="K19" i="57"/>
  <c r="J19" i="57"/>
  <c r="J43" i="57" s="1"/>
  <c r="I19" i="57"/>
  <c r="I43" i="57" s="1"/>
  <c r="H19" i="57"/>
  <c r="G19" i="57"/>
  <c r="F19" i="57"/>
  <c r="E19" i="57"/>
  <c r="E43" i="57" s="1"/>
  <c r="D19" i="57"/>
  <c r="C19" i="57"/>
  <c r="B19" i="57"/>
  <c r="B37" i="57" s="1"/>
  <c r="P18" i="57"/>
  <c r="M18" i="57"/>
  <c r="M45" i="57" s="1"/>
  <c r="L18" i="57"/>
  <c r="L45" i="57" s="1"/>
  <c r="I18" i="57"/>
  <c r="I45" i="57" s="1"/>
  <c r="H18" i="57"/>
  <c r="F18" i="57"/>
  <c r="E18" i="57"/>
  <c r="E45" i="57" s="1"/>
  <c r="AV14" i="57"/>
  <c r="AV9" i="57"/>
  <c r="AV10" i="57" s="1"/>
  <c r="AC9" i="57"/>
  <c r="AC10" i="57" s="1"/>
  <c r="M9" i="57"/>
  <c r="M10" i="57" s="1"/>
  <c r="AU8" i="57"/>
  <c r="AT8" i="57"/>
  <c r="AS8" i="57"/>
  <c r="AR8" i="57"/>
  <c r="AQ8" i="57"/>
  <c r="AP8" i="57"/>
  <c r="AO8" i="57"/>
  <c r="AO9" i="57" s="1"/>
  <c r="AN8" i="57"/>
  <c r="AN9" i="57" s="1"/>
  <c r="AM8" i="57"/>
  <c r="AL8" i="57"/>
  <c r="AK8" i="57"/>
  <c r="AK9" i="57" s="1"/>
  <c r="AJ8" i="57"/>
  <c r="AJ9" i="57" s="1"/>
  <c r="AI8" i="57"/>
  <c r="AH8" i="57"/>
  <c r="AG8" i="57"/>
  <c r="AF8" i="57"/>
  <c r="AE8" i="57"/>
  <c r="AD8" i="57"/>
  <c r="AC8" i="57"/>
  <c r="AB8" i="57"/>
  <c r="AA8" i="57"/>
  <c r="Z8" i="57"/>
  <c r="Y8" i="57"/>
  <c r="Y9" i="57" s="1"/>
  <c r="X8" i="57"/>
  <c r="X9" i="57" s="1"/>
  <c r="W8" i="57"/>
  <c r="V8" i="57"/>
  <c r="U8" i="57"/>
  <c r="U9" i="57" s="1"/>
  <c r="T8" i="57"/>
  <c r="T9" i="57" s="1"/>
  <c r="S8" i="57"/>
  <c r="R8" i="57"/>
  <c r="Q8" i="57"/>
  <c r="P8" i="57"/>
  <c r="O8" i="57"/>
  <c r="M8" i="57"/>
  <c r="L8" i="57"/>
  <c r="I8" i="57"/>
  <c r="I9" i="57" s="1"/>
  <c r="H8" i="57"/>
  <c r="H9" i="57" s="1"/>
  <c r="G8" i="57"/>
  <c r="F8" i="57"/>
  <c r="E8" i="57"/>
  <c r="E9" i="57" s="1"/>
  <c r="D8" i="57"/>
  <c r="D9" i="57" s="1"/>
  <c r="C8" i="57"/>
  <c r="B8" i="57"/>
  <c r="AU7" i="57"/>
  <c r="AU9" i="57" s="1"/>
  <c r="AU27" i="57" s="1"/>
  <c r="AT7" i="57"/>
  <c r="AT9" i="57" s="1"/>
  <c r="AS7" i="57"/>
  <c r="AS9" i="57" s="1"/>
  <c r="AR7" i="57"/>
  <c r="AQ7" i="57"/>
  <c r="AQ9" i="57" s="1"/>
  <c r="AQ27" i="57" s="1"/>
  <c r="AP7" i="57"/>
  <c r="AP9" i="57" s="1"/>
  <c r="AO7" i="57"/>
  <c r="AN7" i="57"/>
  <c r="AM7" i="57"/>
  <c r="AM9" i="57" s="1"/>
  <c r="AM27" i="57" s="1"/>
  <c r="AL7" i="57"/>
  <c r="AL9" i="57" s="1"/>
  <c r="AK7" i="57"/>
  <c r="AJ7" i="57"/>
  <c r="AI7" i="57"/>
  <c r="AI9" i="57" s="1"/>
  <c r="AI27" i="57" s="1"/>
  <c r="AH7" i="57"/>
  <c r="AH9" i="57" s="1"/>
  <c r="AG7" i="57"/>
  <c r="AG9" i="57" s="1"/>
  <c r="AF7" i="57"/>
  <c r="AF9" i="57" s="1"/>
  <c r="AE7" i="57"/>
  <c r="AE9" i="57" s="1"/>
  <c r="AE27" i="57" s="1"/>
  <c r="AD7" i="57"/>
  <c r="AD9" i="57" s="1"/>
  <c r="AC7" i="57"/>
  <c r="AB7" i="57"/>
  <c r="AB9" i="57" s="1"/>
  <c r="AA7" i="57"/>
  <c r="AA9" i="57" s="1"/>
  <c r="AA27" i="57" s="1"/>
  <c r="Z7" i="57"/>
  <c r="Z9" i="57" s="1"/>
  <c r="Y7" i="57"/>
  <c r="X7" i="57"/>
  <c r="W7" i="57"/>
  <c r="W9" i="57" s="1"/>
  <c r="W27" i="57" s="1"/>
  <c r="V7" i="57"/>
  <c r="V9" i="57" s="1"/>
  <c r="U7" i="57"/>
  <c r="T7" i="57"/>
  <c r="S7" i="57"/>
  <c r="S9" i="57" s="1"/>
  <c r="S27" i="57" s="1"/>
  <c r="R7" i="57"/>
  <c r="R9" i="57" s="1"/>
  <c r="Q7" i="57"/>
  <c r="Q9" i="57" s="1"/>
  <c r="P7" i="57"/>
  <c r="P9" i="57" s="1"/>
  <c r="O7" i="57"/>
  <c r="O9" i="57" s="1"/>
  <c r="O27" i="57" s="1"/>
  <c r="N7" i="57"/>
  <c r="N9" i="57" s="1"/>
  <c r="M7" i="57"/>
  <c r="L7" i="57"/>
  <c r="L9" i="57" s="1"/>
  <c r="K7" i="57"/>
  <c r="J7" i="57"/>
  <c r="J9" i="57" s="1"/>
  <c r="I7" i="57"/>
  <c r="H7" i="57"/>
  <c r="G7" i="57"/>
  <c r="G9" i="57" s="1"/>
  <c r="G27" i="57" s="1"/>
  <c r="F7" i="57"/>
  <c r="F9" i="57" s="1"/>
  <c r="E7" i="57"/>
  <c r="D7" i="57"/>
  <c r="C7" i="57"/>
  <c r="C9" i="57" s="1"/>
  <c r="C27" i="57" s="1"/>
  <c r="B7" i="57"/>
  <c r="B9" i="57" s="1"/>
  <c r="AU6" i="57"/>
  <c r="AT6" i="57"/>
  <c r="AS6" i="57"/>
  <c r="AR6" i="57"/>
  <c r="AQ6" i="57"/>
  <c r="AP6" i="57"/>
  <c r="AO6" i="57"/>
  <c r="AN6" i="57"/>
  <c r="AM6" i="57"/>
  <c r="AL6" i="57"/>
  <c r="AK6" i="57"/>
  <c r="AJ6" i="57"/>
  <c r="AI6" i="57"/>
  <c r="AH6" i="57"/>
  <c r="AG6" i="57"/>
  <c r="AF6" i="57"/>
  <c r="AE6" i="57"/>
  <c r="AD6" i="57"/>
  <c r="AC6" i="57"/>
  <c r="AB6" i="57"/>
  <c r="AA6" i="57"/>
  <c r="Z6" i="57"/>
  <c r="Y6" i="57"/>
  <c r="X6" i="57"/>
  <c r="W6" i="57"/>
  <c r="V6" i="57"/>
  <c r="U6" i="57"/>
  <c r="T6" i="57"/>
  <c r="S6" i="57"/>
  <c r="R6" i="57"/>
  <c r="Q6" i="57"/>
  <c r="P6" i="57"/>
  <c r="O6" i="57"/>
  <c r="N6" i="57"/>
  <c r="M6" i="57"/>
  <c r="L6" i="57"/>
  <c r="K6" i="57"/>
  <c r="J6" i="57"/>
  <c r="I6" i="57"/>
  <c r="H6" i="57"/>
  <c r="G6" i="57"/>
  <c r="F6" i="57"/>
  <c r="E6" i="57"/>
  <c r="D6" i="57"/>
  <c r="C6" i="57"/>
  <c r="B6" i="57"/>
  <c r="AP29" i="56"/>
  <c r="AQ26" i="56"/>
  <c r="AP26" i="56"/>
  <c r="AQ25" i="56"/>
  <c r="AP25" i="56"/>
  <c r="AV20" i="56"/>
  <c r="AU20" i="56"/>
  <c r="AV19" i="56"/>
  <c r="AU19" i="56"/>
  <c r="E12" i="56"/>
  <c r="D12" i="56"/>
  <c r="C12" i="56"/>
  <c r="B12" i="56"/>
  <c r="E11" i="56"/>
  <c r="D11" i="56"/>
  <c r="C11" i="56"/>
  <c r="B11" i="56"/>
  <c r="E10" i="56"/>
  <c r="D10" i="56"/>
  <c r="C10" i="56"/>
  <c r="B10" i="56"/>
  <c r="E8" i="56"/>
  <c r="D8" i="56"/>
  <c r="C8" i="56"/>
  <c r="B8" i="56"/>
  <c r="C161" i="50"/>
  <c r="D161" i="50"/>
  <c r="E161" i="50"/>
  <c r="F161" i="50"/>
  <c r="G161" i="50"/>
  <c r="H161" i="50"/>
  <c r="I161" i="50"/>
  <c r="J161" i="50"/>
  <c r="K161" i="50"/>
  <c r="L161" i="50"/>
  <c r="M161" i="50"/>
  <c r="N161" i="50"/>
  <c r="O161" i="50"/>
  <c r="P161" i="50"/>
  <c r="Q161" i="50"/>
  <c r="R161" i="50"/>
  <c r="S161" i="50"/>
  <c r="T161" i="50"/>
  <c r="U161" i="50"/>
  <c r="V161" i="50"/>
  <c r="W161" i="50"/>
  <c r="X161" i="50"/>
  <c r="Y161" i="50"/>
  <c r="Z161" i="50"/>
  <c r="AA161" i="50"/>
  <c r="AB161" i="50"/>
  <c r="AC161" i="50"/>
  <c r="AD161" i="50"/>
  <c r="AE161" i="50"/>
  <c r="AF161" i="50"/>
  <c r="AG161" i="50"/>
  <c r="AH161" i="50"/>
  <c r="AI161" i="50"/>
  <c r="AJ161" i="50"/>
  <c r="AK161" i="50"/>
  <c r="AL161" i="50"/>
  <c r="AM161" i="50"/>
  <c r="AN161" i="50"/>
  <c r="AO161" i="50"/>
  <c r="AP161" i="50"/>
  <c r="AQ161" i="50"/>
  <c r="AR161" i="50"/>
  <c r="C162" i="50"/>
  <c r="C163" i="50" s="1"/>
  <c r="D162" i="50"/>
  <c r="D163" i="50" s="1"/>
  <c r="E162" i="50"/>
  <c r="F162" i="50"/>
  <c r="G162" i="50"/>
  <c r="G163" i="50" s="1"/>
  <c r="H162" i="50"/>
  <c r="H163" i="50" s="1"/>
  <c r="I162" i="50"/>
  <c r="J162" i="50"/>
  <c r="K162" i="50"/>
  <c r="K163" i="50" s="1"/>
  <c r="L162" i="50"/>
  <c r="L163" i="50" s="1"/>
  <c r="M162" i="50"/>
  <c r="N162" i="50"/>
  <c r="O162" i="50"/>
  <c r="O163" i="50" s="1"/>
  <c r="P162" i="50"/>
  <c r="P163" i="50" s="1"/>
  <c r="Q162" i="50"/>
  <c r="R162" i="50"/>
  <c r="S162" i="50"/>
  <c r="S163" i="50" s="1"/>
  <c r="T162" i="50"/>
  <c r="T163" i="50" s="1"/>
  <c r="U162" i="50"/>
  <c r="V162" i="50"/>
  <c r="W162" i="50"/>
  <c r="W163" i="50" s="1"/>
  <c r="X162" i="50"/>
  <c r="X163" i="50" s="1"/>
  <c r="Y162" i="50"/>
  <c r="Z162" i="50"/>
  <c r="AA162" i="50"/>
  <c r="AA163" i="50" s="1"/>
  <c r="AB162" i="50"/>
  <c r="AB163" i="50" s="1"/>
  <c r="AC162" i="50"/>
  <c r="AD162" i="50"/>
  <c r="AE162" i="50"/>
  <c r="AE163" i="50" s="1"/>
  <c r="AF162" i="50"/>
  <c r="AF163" i="50" s="1"/>
  <c r="AG162" i="50"/>
  <c r="AH162" i="50"/>
  <c r="AI162" i="50"/>
  <c r="AI163" i="50" s="1"/>
  <c r="AJ162" i="50"/>
  <c r="AJ163" i="50" s="1"/>
  <c r="AK162" i="50"/>
  <c r="AL162" i="50"/>
  <c r="AM162" i="50"/>
  <c r="AM163" i="50" s="1"/>
  <c r="AN162" i="50"/>
  <c r="AN163" i="50" s="1"/>
  <c r="AO162" i="50"/>
  <c r="AP162" i="50"/>
  <c r="AQ162" i="50"/>
  <c r="AQ163" i="50" s="1"/>
  <c r="AR162" i="50"/>
  <c r="AR163" i="50" s="1"/>
  <c r="E163" i="50"/>
  <c r="F163" i="50"/>
  <c r="I163" i="50"/>
  <c r="J163" i="50"/>
  <c r="M163" i="50"/>
  <c r="N163" i="50"/>
  <c r="Q163" i="50"/>
  <c r="R163" i="50"/>
  <c r="U163" i="50"/>
  <c r="V163" i="50"/>
  <c r="Y163" i="50"/>
  <c r="Z163" i="50"/>
  <c r="AC163" i="50"/>
  <c r="AD163" i="50"/>
  <c r="AG163" i="50"/>
  <c r="AH163" i="50"/>
  <c r="AK163" i="50"/>
  <c r="AL163" i="50"/>
  <c r="AO163" i="50"/>
  <c r="AP163" i="50"/>
  <c r="B163" i="50"/>
  <c r="B162" i="50"/>
  <c r="C78" i="50"/>
  <c r="D78" i="50"/>
  <c r="E78" i="50"/>
  <c r="F78" i="50"/>
  <c r="G78" i="50"/>
  <c r="H78" i="50"/>
  <c r="I78" i="50"/>
  <c r="J78" i="50"/>
  <c r="K78" i="50"/>
  <c r="L78" i="50"/>
  <c r="M78" i="50"/>
  <c r="N78" i="50"/>
  <c r="O78" i="50"/>
  <c r="P78" i="50"/>
  <c r="Q78" i="50"/>
  <c r="R78" i="50"/>
  <c r="S78" i="50"/>
  <c r="T78" i="50"/>
  <c r="U78" i="50"/>
  <c r="V78" i="50"/>
  <c r="W78" i="50"/>
  <c r="X78" i="50"/>
  <c r="Y78" i="50"/>
  <c r="Z78" i="50"/>
  <c r="AA78" i="50"/>
  <c r="AB78" i="50"/>
  <c r="AC78" i="50"/>
  <c r="AD78" i="50"/>
  <c r="AE78" i="50"/>
  <c r="AF78" i="50"/>
  <c r="AG78" i="50"/>
  <c r="AH78" i="50"/>
  <c r="AI78" i="50"/>
  <c r="AJ78" i="50"/>
  <c r="AK78" i="50"/>
  <c r="AL78" i="50"/>
  <c r="AM78" i="50"/>
  <c r="AN78" i="50"/>
  <c r="AO78" i="50"/>
  <c r="AP78" i="50"/>
  <c r="AQ78" i="50"/>
  <c r="AR78" i="50"/>
  <c r="C79" i="50"/>
  <c r="D79" i="50"/>
  <c r="D80" i="50" s="1"/>
  <c r="E79" i="50"/>
  <c r="E80" i="50" s="1"/>
  <c r="F79" i="50"/>
  <c r="G79" i="50"/>
  <c r="H79" i="50"/>
  <c r="H80" i="50" s="1"/>
  <c r="I79" i="50"/>
  <c r="I80" i="50" s="1"/>
  <c r="J79" i="50"/>
  <c r="K79" i="50"/>
  <c r="L79" i="50"/>
  <c r="L80" i="50" s="1"/>
  <c r="M79" i="50"/>
  <c r="M80" i="50" s="1"/>
  <c r="N79" i="50"/>
  <c r="O79" i="50"/>
  <c r="P79" i="50"/>
  <c r="P80" i="50" s="1"/>
  <c r="Q79" i="50"/>
  <c r="Q80" i="50" s="1"/>
  <c r="R79" i="50"/>
  <c r="S79" i="50"/>
  <c r="T79" i="50"/>
  <c r="T80" i="50" s="1"/>
  <c r="U79" i="50"/>
  <c r="U80" i="50" s="1"/>
  <c r="V79" i="50"/>
  <c r="W79" i="50"/>
  <c r="X79" i="50"/>
  <c r="X80" i="50" s="1"/>
  <c r="Y79" i="50"/>
  <c r="Y80" i="50" s="1"/>
  <c r="Z79" i="50"/>
  <c r="AA79" i="50"/>
  <c r="AB79" i="50"/>
  <c r="AB80" i="50" s="1"/>
  <c r="AC79" i="50"/>
  <c r="AC80" i="50" s="1"/>
  <c r="AD79" i="50"/>
  <c r="AE79" i="50"/>
  <c r="AF79" i="50"/>
  <c r="AF80" i="50" s="1"/>
  <c r="AG79" i="50"/>
  <c r="AG80" i="50" s="1"/>
  <c r="AH79" i="50"/>
  <c r="AI79" i="50"/>
  <c r="AJ79" i="50"/>
  <c r="AJ80" i="50" s="1"/>
  <c r="AK79" i="50"/>
  <c r="AK80" i="50" s="1"/>
  <c r="AL79" i="50"/>
  <c r="AM79" i="50"/>
  <c r="AN79" i="50"/>
  <c r="AN80" i="50" s="1"/>
  <c r="AO79" i="50"/>
  <c r="AO80" i="50" s="1"/>
  <c r="AP79" i="50"/>
  <c r="AQ79" i="50"/>
  <c r="AR79" i="50"/>
  <c r="AR80" i="50" s="1"/>
  <c r="C80" i="50"/>
  <c r="F80" i="50"/>
  <c r="G80" i="50"/>
  <c r="J80" i="50"/>
  <c r="K80" i="50"/>
  <c r="N80" i="50"/>
  <c r="O80" i="50"/>
  <c r="R80" i="50"/>
  <c r="S80" i="50"/>
  <c r="V80" i="50"/>
  <c r="W80" i="50"/>
  <c r="Z80" i="50"/>
  <c r="AA80" i="50"/>
  <c r="AD80" i="50"/>
  <c r="AE80" i="50"/>
  <c r="AH80" i="50"/>
  <c r="AI80" i="50"/>
  <c r="AL80" i="50"/>
  <c r="AM80" i="50"/>
  <c r="AP80" i="50"/>
  <c r="AQ80" i="50"/>
  <c r="B80" i="50"/>
  <c r="B79" i="50"/>
  <c r="C79" i="52"/>
  <c r="D79" i="52"/>
  <c r="E79" i="52"/>
  <c r="F79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S79" i="52"/>
  <c r="T79" i="52"/>
  <c r="U79" i="52"/>
  <c r="V79" i="52"/>
  <c r="W79" i="52"/>
  <c r="X79" i="52"/>
  <c r="Y79" i="52"/>
  <c r="Z79" i="52"/>
  <c r="AA79" i="52"/>
  <c r="AB79" i="52"/>
  <c r="AC79" i="52"/>
  <c r="AD79" i="52"/>
  <c r="AE79" i="52"/>
  <c r="AF79" i="52"/>
  <c r="AG79" i="52"/>
  <c r="AH79" i="52"/>
  <c r="AI79" i="52"/>
  <c r="AJ79" i="52"/>
  <c r="AK79" i="52"/>
  <c r="AL79" i="52"/>
  <c r="AM79" i="52"/>
  <c r="AN79" i="52"/>
  <c r="AO79" i="52"/>
  <c r="AP79" i="52"/>
  <c r="C80" i="52"/>
  <c r="D80" i="52"/>
  <c r="E80" i="52"/>
  <c r="F80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S80" i="52"/>
  <c r="T80" i="52"/>
  <c r="U80" i="52"/>
  <c r="V80" i="52"/>
  <c r="W80" i="52"/>
  <c r="X80" i="52"/>
  <c r="Y80" i="52"/>
  <c r="Z80" i="52"/>
  <c r="AA80" i="52"/>
  <c r="AB80" i="52"/>
  <c r="AC80" i="52"/>
  <c r="AD80" i="52"/>
  <c r="AE80" i="52"/>
  <c r="AF80" i="52"/>
  <c r="AG80" i="52"/>
  <c r="AH80" i="52"/>
  <c r="AH81" i="52" s="1"/>
  <c r="AI80" i="52"/>
  <c r="AJ80" i="52"/>
  <c r="AK80" i="52"/>
  <c r="AL80" i="52"/>
  <c r="AM80" i="52"/>
  <c r="AN80" i="52"/>
  <c r="AO80" i="52"/>
  <c r="AP80" i="52"/>
  <c r="C81" i="52"/>
  <c r="D81" i="52"/>
  <c r="E81" i="52"/>
  <c r="F81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S81" i="52"/>
  <c r="T81" i="52"/>
  <c r="U81" i="52"/>
  <c r="V81" i="52"/>
  <c r="W81" i="52"/>
  <c r="X81" i="52"/>
  <c r="Y81" i="52"/>
  <c r="Z81" i="52"/>
  <c r="AA81" i="52"/>
  <c r="AB81" i="52"/>
  <c r="AC81" i="52"/>
  <c r="AD81" i="52"/>
  <c r="AE81" i="52"/>
  <c r="AF81" i="52"/>
  <c r="AG81" i="52"/>
  <c r="AI81" i="52"/>
  <c r="AJ81" i="52"/>
  <c r="AK81" i="52"/>
  <c r="AL81" i="52"/>
  <c r="AM81" i="52"/>
  <c r="AN81" i="52"/>
  <c r="AO81" i="52"/>
  <c r="AP81" i="52"/>
  <c r="B81" i="52"/>
  <c r="B80" i="52"/>
  <c r="B79" i="52"/>
  <c r="C164" i="51"/>
  <c r="D164" i="51"/>
  <c r="E164" i="51"/>
  <c r="F164" i="51"/>
  <c r="G164" i="51"/>
  <c r="G166" i="51" s="1"/>
  <c r="H164" i="51"/>
  <c r="I164" i="51"/>
  <c r="J164" i="51"/>
  <c r="K164" i="51"/>
  <c r="L164" i="51"/>
  <c r="M164" i="51"/>
  <c r="N164" i="51"/>
  <c r="O164" i="51"/>
  <c r="O166" i="51" s="1"/>
  <c r="P164" i="51"/>
  <c r="Q164" i="51"/>
  <c r="R164" i="51"/>
  <c r="S164" i="51"/>
  <c r="T164" i="51"/>
  <c r="U164" i="51"/>
  <c r="V164" i="51"/>
  <c r="W164" i="51"/>
  <c r="W166" i="51" s="1"/>
  <c r="X164" i="51"/>
  <c r="Y164" i="51"/>
  <c r="Z164" i="51"/>
  <c r="AA164" i="51"/>
  <c r="AB164" i="51"/>
  <c r="AC164" i="51"/>
  <c r="AD164" i="51"/>
  <c r="AE164" i="51"/>
  <c r="AE166" i="51" s="1"/>
  <c r="AF164" i="51"/>
  <c r="AG164" i="51"/>
  <c r="AH164" i="51"/>
  <c r="AI164" i="51"/>
  <c r="AJ164" i="51"/>
  <c r="AK164" i="51"/>
  <c r="AL164" i="51"/>
  <c r="AM164" i="51"/>
  <c r="AM166" i="51" s="1"/>
  <c r="AN164" i="51"/>
  <c r="AO164" i="51"/>
  <c r="AP164" i="51"/>
  <c r="AQ164" i="51"/>
  <c r="AR164" i="51"/>
  <c r="AS164" i="51"/>
  <c r="AT164" i="51"/>
  <c r="C165" i="51"/>
  <c r="D165" i="51"/>
  <c r="E165" i="51"/>
  <c r="F165" i="51"/>
  <c r="G165" i="51"/>
  <c r="H165" i="51"/>
  <c r="I165" i="51"/>
  <c r="J165" i="51"/>
  <c r="K165" i="51"/>
  <c r="L165" i="51"/>
  <c r="M165" i="51"/>
  <c r="N165" i="51"/>
  <c r="O165" i="51"/>
  <c r="P165" i="51"/>
  <c r="Q165" i="51"/>
  <c r="R165" i="51"/>
  <c r="S165" i="51"/>
  <c r="T165" i="51"/>
  <c r="U165" i="51"/>
  <c r="V165" i="51"/>
  <c r="W165" i="51"/>
  <c r="X165" i="51"/>
  <c r="Y165" i="51"/>
  <c r="Z165" i="51"/>
  <c r="AA165" i="51"/>
  <c r="AB165" i="51"/>
  <c r="AC165" i="51"/>
  <c r="AD165" i="51"/>
  <c r="AE165" i="51"/>
  <c r="AF165" i="51"/>
  <c r="AG165" i="51"/>
  <c r="AH165" i="51"/>
  <c r="AI165" i="51"/>
  <c r="AJ165" i="51"/>
  <c r="AK165" i="51"/>
  <c r="AL165" i="51"/>
  <c r="AM165" i="51"/>
  <c r="AN165" i="51"/>
  <c r="AO165" i="51"/>
  <c r="AP165" i="51"/>
  <c r="AQ165" i="51"/>
  <c r="AR165" i="51"/>
  <c r="AS165" i="51"/>
  <c r="AT165" i="51"/>
  <c r="C166" i="51"/>
  <c r="F166" i="51"/>
  <c r="J166" i="51"/>
  <c r="K166" i="51"/>
  <c r="N166" i="51"/>
  <c r="R166" i="51"/>
  <c r="S166" i="51"/>
  <c r="V166" i="51"/>
  <c r="Z166" i="51"/>
  <c r="AA166" i="51"/>
  <c r="AD166" i="51"/>
  <c r="AH166" i="51"/>
  <c r="AI166" i="51"/>
  <c r="AL166" i="51"/>
  <c r="AP166" i="51"/>
  <c r="AQ166" i="51"/>
  <c r="AT166" i="51"/>
  <c r="B165" i="51"/>
  <c r="C78" i="51"/>
  <c r="D78" i="51"/>
  <c r="E78" i="51"/>
  <c r="F78" i="51"/>
  <c r="G78" i="51"/>
  <c r="G80" i="51" s="1"/>
  <c r="H78" i="51"/>
  <c r="I78" i="51"/>
  <c r="J78" i="51"/>
  <c r="K78" i="51"/>
  <c r="L78" i="51"/>
  <c r="M78" i="51"/>
  <c r="N78" i="51"/>
  <c r="O78" i="51"/>
  <c r="O80" i="51" s="1"/>
  <c r="P78" i="51"/>
  <c r="Q78" i="51"/>
  <c r="R78" i="51"/>
  <c r="S78" i="51"/>
  <c r="T78" i="51"/>
  <c r="U78" i="51"/>
  <c r="V78" i="51"/>
  <c r="W78" i="51"/>
  <c r="W80" i="51" s="1"/>
  <c r="X78" i="51"/>
  <c r="Y78" i="51"/>
  <c r="Z78" i="51"/>
  <c r="AA78" i="51"/>
  <c r="AB78" i="51"/>
  <c r="AC78" i="51"/>
  <c r="AD78" i="51"/>
  <c r="AE78" i="51"/>
  <c r="AE80" i="51" s="1"/>
  <c r="AF78" i="51"/>
  <c r="AG78" i="51"/>
  <c r="AH78" i="51"/>
  <c r="AI78" i="51"/>
  <c r="AJ78" i="51"/>
  <c r="AK78" i="51"/>
  <c r="AL78" i="51"/>
  <c r="AM78" i="51"/>
  <c r="AM80" i="51" s="1"/>
  <c r="AN78" i="51"/>
  <c r="AO78" i="51"/>
  <c r="AP78" i="51"/>
  <c r="AQ78" i="51"/>
  <c r="AR78" i="51"/>
  <c r="AS78" i="51"/>
  <c r="AT78" i="51"/>
  <c r="C79" i="51"/>
  <c r="D79" i="51"/>
  <c r="E79" i="51"/>
  <c r="F79" i="51"/>
  <c r="G79" i="51"/>
  <c r="H79" i="51"/>
  <c r="I79" i="51"/>
  <c r="J79" i="51"/>
  <c r="K79" i="51"/>
  <c r="L79" i="51"/>
  <c r="M79" i="51"/>
  <c r="N79" i="51"/>
  <c r="O79" i="51"/>
  <c r="P79" i="51"/>
  <c r="Q79" i="51"/>
  <c r="R79" i="51"/>
  <c r="S79" i="51"/>
  <c r="T79" i="51"/>
  <c r="U79" i="51"/>
  <c r="V79" i="51"/>
  <c r="W79" i="51"/>
  <c r="X79" i="51"/>
  <c r="Y79" i="51"/>
  <c r="Z79" i="51"/>
  <c r="AA79" i="51"/>
  <c r="AB79" i="51"/>
  <c r="AC79" i="51"/>
  <c r="AD79" i="51"/>
  <c r="AE79" i="51"/>
  <c r="AF79" i="51"/>
  <c r="AG79" i="51"/>
  <c r="AH79" i="51"/>
  <c r="AI79" i="51"/>
  <c r="AJ79" i="51"/>
  <c r="AK79" i="51"/>
  <c r="AL79" i="51"/>
  <c r="AM79" i="51"/>
  <c r="AN79" i="51"/>
  <c r="AO79" i="51"/>
  <c r="AP79" i="51"/>
  <c r="AQ79" i="51"/>
  <c r="AR79" i="51"/>
  <c r="AS79" i="51"/>
  <c r="AT79" i="51"/>
  <c r="C80" i="51"/>
  <c r="F80" i="51"/>
  <c r="J80" i="51"/>
  <c r="K80" i="51"/>
  <c r="N80" i="51"/>
  <c r="R80" i="51"/>
  <c r="S80" i="51"/>
  <c r="V80" i="51"/>
  <c r="Z80" i="51"/>
  <c r="AA80" i="51"/>
  <c r="AD80" i="51"/>
  <c r="AH80" i="51"/>
  <c r="AI80" i="51"/>
  <c r="AL80" i="51"/>
  <c r="AP80" i="51"/>
  <c r="AQ80" i="51"/>
  <c r="AT80" i="51"/>
  <c r="B80" i="51"/>
  <c r="B79" i="51"/>
  <c r="B16" i="52"/>
  <c r="B30" i="52"/>
  <c r="B37" i="52"/>
  <c r="B46" i="52"/>
  <c r="B51" i="52"/>
  <c r="B53" i="52"/>
  <c r="B55" i="52"/>
  <c r="B57" i="52"/>
  <c r="B59" i="52"/>
  <c r="B61" i="52"/>
  <c r="B164" i="51"/>
  <c r="B166" i="51" s="1"/>
  <c r="B78" i="51"/>
  <c r="B141" i="51"/>
  <c r="C141" i="51"/>
  <c r="D141" i="51"/>
  <c r="E141" i="51"/>
  <c r="F141" i="51"/>
  <c r="G141" i="51"/>
  <c r="H141" i="51"/>
  <c r="I141" i="51"/>
  <c r="J141" i="51"/>
  <c r="K141" i="51"/>
  <c r="L141" i="51"/>
  <c r="M141" i="51"/>
  <c r="N141" i="51"/>
  <c r="O141" i="51"/>
  <c r="P141" i="51"/>
  <c r="Q141" i="51"/>
  <c r="R141" i="51"/>
  <c r="S141" i="51"/>
  <c r="T141" i="51"/>
  <c r="U141" i="51"/>
  <c r="V141" i="51"/>
  <c r="W141" i="51"/>
  <c r="Y141" i="51"/>
  <c r="Z141" i="51"/>
  <c r="AA141" i="51"/>
  <c r="AB141" i="51"/>
  <c r="AC141" i="51"/>
  <c r="AD141" i="51"/>
  <c r="AE141" i="51"/>
  <c r="AF141" i="51"/>
  <c r="AG141" i="51"/>
  <c r="AH141" i="51"/>
  <c r="AI141" i="51"/>
  <c r="AJ141" i="51"/>
  <c r="AK141" i="51"/>
  <c r="AL141" i="51"/>
  <c r="AM141" i="51"/>
  <c r="AN141" i="51"/>
  <c r="AO141" i="51"/>
  <c r="AP141" i="51"/>
  <c r="AQ141" i="51"/>
  <c r="AR141" i="51"/>
  <c r="AS141" i="51"/>
  <c r="AT141" i="51"/>
  <c r="B53" i="51"/>
  <c r="C53" i="51"/>
  <c r="D53" i="51"/>
  <c r="E53" i="51"/>
  <c r="F53" i="51"/>
  <c r="G53" i="51"/>
  <c r="H53" i="51"/>
  <c r="I53" i="51"/>
  <c r="J53" i="51"/>
  <c r="K53" i="51"/>
  <c r="L53" i="51"/>
  <c r="M53" i="51"/>
  <c r="N53" i="51"/>
  <c r="O53" i="51"/>
  <c r="P53" i="51"/>
  <c r="Q53" i="51"/>
  <c r="R53" i="51"/>
  <c r="S53" i="51"/>
  <c r="T53" i="51"/>
  <c r="U53" i="51"/>
  <c r="V53" i="51"/>
  <c r="W53" i="51"/>
  <c r="X53" i="51"/>
  <c r="Y53" i="51"/>
  <c r="Z53" i="51"/>
  <c r="AA53" i="51"/>
  <c r="AB53" i="51"/>
  <c r="AC53" i="51"/>
  <c r="AD53" i="51"/>
  <c r="AE53" i="51"/>
  <c r="AF53" i="51"/>
  <c r="AG53" i="51"/>
  <c r="AH53" i="51"/>
  <c r="AI53" i="51"/>
  <c r="AJ53" i="51"/>
  <c r="AK53" i="51"/>
  <c r="AL53" i="51"/>
  <c r="AM53" i="51"/>
  <c r="AN53" i="51"/>
  <c r="AO53" i="51"/>
  <c r="AP53" i="51"/>
  <c r="AQ53" i="51"/>
  <c r="AR53" i="51"/>
  <c r="AS53" i="51"/>
  <c r="AT53" i="51"/>
  <c r="AT147" i="51"/>
  <c r="AS147" i="51"/>
  <c r="AR147" i="51"/>
  <c r="AQ147" i="51"/>
  <c r="AP147" i="51"/>
  <c r="AO147" i="51"/>
  <c r="AN147" i="51"/>
  <c r="AM147" i="51"/>
  <c r="AL147" i="51"/>
  <c r="AK147" i="51"/>
  <c r="AJ147" i="51"/>
  <c r="AI147" i="51"/>
  <c r="AH147" i="51"/>
  <c r="AG147" i="51"/>
  <c r="AF147" i="51"/>
  <c r="AE147" i="51"/>
  <c r="AD147" i="51"/>
  <c r="AC147" i="51"/>
  <c r="AB147" i="51"/>
  <c r="AA147" i="51"/>
  <c r="Z147" i="51"/>
  <c r="Y147" i="51"/>
  <c r="W147" i="51"/>
  <c r="V147" i="51"/>
  <c r="U147" i="51"/>
  <c r="T147" i="51"/>
  <c r="S147" i="51"/>
  <c r="R147" i="51"/>
  <c r="Q147" i="51"/>
  <c r="P147" i="51"/>
  <c r="O147" i="51"/>
  <c r="N147" i="51"/>
  <c r="M147" i="51"/>
  <c r="L147" i="51"/>
  <c r="K147" i="51"/>
  <c r="J147" i="51"/>
  <c r="I147" i="51"/>
  <c r="H147" i="51"/>
  <c r="G147" i="51"/>
  <c r="F147" i="51"/>
  <c r="E147" i="51"/>
  <c r="D147" i="51"/>
  <c r="C147" i="51"/>
  <c r="B147" i="51"/>
  <c r="AT145" i="51"/>
  <c r="AS145" i="51"/>
  <c r="AR145" i="51"/>
  <c r="AQ145" i="51"/>
  <c r="AP145" i="51"/>
  <c r="AO145" i="51"/>
  <c r="AN145" i="51"/>
  <c r="AM145" i="51"/>
  <c r="AL145" i="51"/>
  <c r="AK145" i="51"/>
  <c r="AJ145" i="51"/>
  <c r="AI145" i="51"/>
  <c r="AH145" i="51"/>
  <c r="AG145" i="51"/>
  <c r="AF145" i="51"/>
  <c r="AE145" i="51"/>
  <c r="AD145" i="51"/>
  <c r="AC145" i="51"/>
  <c r="AB145" i="51"/>
  <c r="AA145" i="51"/>
  <c r="Z145" i="51"/>
  <c r="Y145" i="51"/>
  <c r="W145" i="51"/>
  <c r="V145" i="51"/>
  <c r="U145" i="51"/>
  <c r="T145" i="51"/>
  <c r="S145" i="51"/>
  <c r="R145" i="51"/>
  <c r="Q145" i="51"/>
  <c r="P145" i="51"/>
  <c r="O145" i="51"/>
  <c r="N145" i="51"/>
  <c r="M145" i="51"/>
  <c r="L145" i="51"/>
  <c r="K145" i="51"/>
  <c r="J145" i="51"/>
  <c r="I145" i="51"/>
  <c r="H145" i="51"/>
  <c r="G145" i="51"/>
  <c r="F145" i="51"/>
  <c r="E145" i="51"/>
  <c r="D145" i="51"/>
  <c r="C145" i="51"/>
  <c r="B145" i="51"/>
  <c r="AT143" i="51"/>
  <c r="AS143" i="51"/>
  <c r="AR143" i="51"/>
  <c r="AQ143" i="51"/>
  <c r="AP143" i="51"/>
  <c r="AO143" i="51"/>
  <c r="AN143" i="51"/>
  <c r="AM143" i="51"/>
  <c r="AL143" i="51"/>
  <c r="AK143" i="51"/>
  <c r="AJ143" i="51"/>
  <c r="AI143" i="51"/>
  <c r="AH143" i="51"/>
  <c r="AG143" i="51"/>
  <c r="AF143" i="51"/>
  <c r="AE143" i="51"/>
  <c r="AD143" i="51"/>
  <c r="AC143" i="51"/>
  <c r="AB143" i="51"/>
  <c r="AA143" i="51"/>
  <c r="Z143" i="51"/>
  <c r="Y143" i="51"/>
  <c r="W143" i="51"/>
  <c r="V143" i="51"/>
  <c r="U143" i="51"/>
  <c r="T143" i="51"/>
  <c r="S143" i="51"/>
  <c r="R143" i="51"/>
  <c r="Q143" i="51"/>
  <c r="P143" i="51"/>
  <c r="O143" i="51"/>
  <c r="N143" i="51"/>
  <c r="M143" i="51"/>
  <c r="L143" i="51"/>
  <c r="K143" i="51"/>
  <c r="J143" i="51"/>
  <c r="I143" i="51"/>
  <c r="H143" i="51"/>
  <c r="G143" i="51"/>
  <c r="F143" i="51"/>
  <c r="E143" i="51"/>
  <c r="D143" i="51"/>
  <c r="C143" i="51"/>
  <c r="B143" i="51"/>
  <c r="AT139" i="51"/>
  <c r="AS139" i="51"/>
  <c r="AR139" i="51"/>
  <c r="AQ139" i="51"/>
  <c r="AP139" i="51"/>
  <c r="AO139" i="51"/>
  <c r="AN139" i="51"/>
  <c r="AM139" i="51"/>
  <c r="AL139" i="51"/>
  <c r="AK139" i="51"/>
  <c r="AJ139" i="51"/>
  <c r="AI139" i="51"/>
  <c r="AH139" i="51"/>
  <c r="AG139" i="51"/>
  <c r="AF139" i="51"/>
  <c r="AE139" i="51"/>
  <c r="AD139" i="51"/>
  <c r="AC139" i="51"/>
  <c r="AB139" i="51"/>
  <c r="AA139" i="51"/>
  <c r="Z139" i="51"/>
  <c r="Y139" i="51"/>
  <c r="W139" i="51"/>
  <c r="V139" i="51"/>
  <c r="U139" i="51"/>
  <c r="T139" i="51"/>
  <c r="S139" i="51"/>
  <c r="R139" i="51"/>
  <c r="Q139" i="51"/>
  <c r="P139" i="51"/>
  <c r="O139" i="51"/>
  <c r="N139" i="51"/>
  <c r="M139" i="51"/>
  <c r="L139" i="51"/>
  <c r="K139" i="51"/>
  <c r="J139" i="51"/>
  <c r="I139" i="51"/>
  <c r="H139" i="51"/>
  <c r="G139" i="51"/>
  <c r="F139" i="51"/>
  <c r="E139" i="51"/>
  <c r="D139" i="51"/>
  <c r="C139" i="51"/>
  <c r="B139" i="51"/>
  <c r="AT137" i="51"/>
  <c r="AS137" i="51"/>
  <c r="AR137" i="51"/>
  <c r="AQ137" i="51"/>
  <c r="AP137" i="51"/>
  <c r="AO137" i="51"/>
  <c r="AN137" i="51"/>
  <c r="AM137" i="51"/>
  <c r="AL137" i="51"/>
  <c r="AK137" i="51"/>
  <c r="AJ137" i="51"/>
  <c r="AI137" i="51"/>
  <c r="AH137" i="51"/>
  <c r="AG137" i="51"/>
  <c r="AF137" i="51"/>
  <c r="AE137" i="51"/>
  <c r="AD137" i="51"/>
  <c r="AC137" i="51"/>
  <c r="AB137" i="51"/>
  <c r="AA137" i="51"/>
  <c r="Z137" i="51"/>
  <c r="Y137" i="51"/>
  <c r="W137" i="51"/>
  <c r="V137" i="51"/>
  <c r="U137" i="51"/>
  <c r="T137" i="51"/>
  <c r="S137" i="51"/>
  <c r="R137" i="51"/>
  <c r="Q137" i="51"/>
  <c r="P137" i="51"/>
  <c r="O137" i="51"/>
  <c r="N137" i="51"/>
  <c r="M137" i="51"/>
  <c r="L137" i="51"/>
  <c r="K137" i="51"/>
  <c r="J137" i="51"/>
  <c r="I137" i="51"/>
  <c r="H137" i="51"/>
  <c r="G137" i="51"/>
  <c r="F137" i="51"/>
  <c r="E137" i="51"/>
  <c r="D137" i="51"/>
  <c r="C137" i="51"/>
  <c r="B137" i="51"/>
  <c r="AT132" i="51"/>
  <c r="AS132" i="51"/>
  <c r="AR132" i="51"/>
  <c r="AQ132" i="51"/>
  <c r="AP132" i="51"/>
  <c r="AO132" i="51"/>
  <c r="AN132" i="51"/>
  <c r="AM132" i="51"/>
  <c r="AL132" i="51"/>
  <c r="AK132" i="51"/>
  <c r="AJ132" i="51"/>
  <c r="AI132" i="51"/>
  <c r="AH132" i="51"/>
  <c r="AG132" i="51"/>
  <c r="AF132" i="51"/>
  <c r="AE132" i="51"/>
  <c r="AD132" i="51"/>
  <c r="AC132" i="51"/>
  <c r="AB132" i="51"/>
  <c r="AA132" i="51"/>
  <c r="Z132" i="51"/>
  <c r="Y132" i="51"/>
  <c r="W132" i="51"/>
  <c r="V132" i="51"/>
  <c r="U132" i="51"/>
  <c r="T132" i="51"/>
  <c r="S132" i="51"/>
  <c r="R132" i="51"/>
  <c r="Q132" i="51"/>
  <c r="P132" i="51"/>
  <c r="O132" i="51"/>
  <c r="N132" i="51"/>
  <c r="M132" i="51"/>
  <c r="L132" i="51"/>
  <c r="K132" i="51"/>
  <c r="J132" i="51"/>
  <c r="I132" i="51"/>
  <c r="H132" i="51"/>
  <c r="G132" i="51"/>
  <c r="F132" i="51"/>
  <c r="E132" i="51"/>
  <c r="D132" i="51"/>
  <c r="C132" i="51"/>
  <c r="B132" i="51"/>
  <c r="AT123" i="51"/>
  <c r="AS123" i="51"/>
  <c r="AR123" i="51"/>
  <c r="AQ123" i="51"/>
  <c r="AP123" i="51"/>
  <c r="AO123" i="51"/>
  <c r="AN123" i="51"/>
  <c r="AM123" i="51"/>
  <c r="AL123" i="51"/>
  <c r="AK123" i="51"/>
  <c r="AJ123" i="51"/>
  <c r="AI123" i="51"/>
  <c r="AH123" i="51"/>
  <c r="AG123" i="51"/>
  <c r="AF123" i="51"/>
  <c r="AE123" i="51"/>
  <c r="AD123" i="51"/>
  <c r="AC123" i="51"/>
  <c r="AB123" i="51"/>
  <c r="AA123" i="51"/>
  <c r="Z123" i="51"/>
  <c r="Y123" i="51"/>
  <c r="W123" i="51"/>
  <c r="V123" i="51"/>
  <c r="U123" i="51"/>
  <c r="T123" i="51"/>
  <c r="S123" i="51"/>
  <c r="R123" i="51"/>
  <c r="Q123" i="51"/>
  <c r="P123" i="51"/>
  <c r="O123" i="51"/>
  <c r="N123" i="51"/>
  <c r="M123" i="51"/>
  <c r="L123" i="51"/>
  <c r="K123" i="51"/>
  <c r="J123" i="51"/>
  <c r="I123" i="51"/>
  <c r="H123" i="51"/>
  <c r="G123" i="51"/>
  <c r="F123" i="51"/>
  <c r="C123" i="51"/>
  <c r="B123" i="51"/>
  <c r="E121" i="51"/>
  <c r="E123" i="51" s="1"/>
  <c r="D121" i="51"/>
  <c r="D123" i="51" s="1"/>
  <c r="AT116" i="51"/>
  <c r="AS116" i="51"/>
  <c r="AR116" i="51"/>
  <c r="AQ116" i="51"/>
  <c r="AP116" i="51"/>
  <c r="AO116" i="51"/>
  <c r="AN116" i="51"/>
  <c r="AM116" i="51"/>
  <c r="AL116" i="51"/>
  <c r="AK116" i="51"/>
  <c r="AJ116" i="51"/>
  <c r="AI116" i="51"/>
  <c r="AH116" i="51"/>
  <c r="AG116" i="51"/>
  <c r="AF116" i="51"/>
  <c r="AE116" i="51"/>
  <c r="AD116" i="51"/>
  <c r="AC116" i="51"/>
  <c r="AB116" i="51"/>
  <c r="AA116" i="51"/>
  <c r="Z116" i="51"/>
  <c r="Y116" i="51"/>
  <c r="W116" i="51"/>
  <c r="V116" i="51"/>
  <c r="U116" i="51"/>
  <c r="T116" i="51"/>
  <c r="S116" i="51"/>
  <c r="R116" i="51"/>
  <c r="Q116" i="51"/>
  <c r="P116" i="51"/>
  <c r="O116" i="51"/>
  <c r="N116" i="51"/>
  <c r="M116" i="51"/>
  <c r="L116" i="51"/>
  <c r="K116" i="51"/>
  <c r="J116" i="51"/>
  <c r="I116" i="51"/>
  <c r="H116" i="51"/>
  <c r="G116" i="51"/>
  <c r="F116" i="51"/>
  <c r="E116" i="51"/>
  <c r="D116" i="51"/>
  <c r="C116" i="51"/>
  <c r="B116" i="51"/>
  <c r="AT102" i="51"/>
  <c r="AS102" i="51"/>
  <c r="AR102" i="51"/>
  <c r="AQ102" i="51"/>
  <c r="AP102" i="51"/>
  <c r="AO102" i="51"/>
  <c r="AN102" i="51"/>
  <c r="AM102" i="51"/>
  <c r="AL102" i="51"/>
  <c r="AK102" i="51"/>
  <c r="AJ102" i="51"/>
  <c r="AI102" i="51"/>
  <c r="AH102" i="51"/>
  <c r="AG102" i="51"/>
  <c r="AF102" i="51"/>
  <c r="AE102" i="51"/>
  <c r="AD102" i="51"/>
  <c r="AC102" i="51"/>
  <c r="AB102" i="51"/>
  <c r="AA102" i="51"/>
  <c r="Z102" i="51"/>
  <c r="Y102" i="51"/>
  <c r="W102" i="51"/>
  <c r="V102" i="51"/>
  <c r="U102" i="51"/>
  <c r="T102" i="51"/>
  <c r="S102" i="51"/>
  <c r="R102" i="51"/>
  <c r="Q102" i="51"/>
  <c r="P102" i="51"/>
  <c r="O102" i="51"/>
  <c r="N102" i="51"/>
  <c r="M102" i="51"/>
  <c r="L102" i="51"/>
  <c r="K102" i="51"/>
  <c r="J102" i="51"/>
  <c r="I102" i="51"/>
  <c r="H102" i="51"/>
  <c r="G102" i="51"/>
  <c r="F102" i="51"/>
  <c r="C102" i="51"/>
  <c r="B102" i="51"/>
  <c r="E90" i="51"/>
  <c r="E102" i="51" s="1"/>
  <c r="D90" i="51"/>
  <c r="D102" i="51" s="1"/>
  <c r="Y61" i="51"/>
  <c r="Y59" i="51"/>
  <c r="Y57" i="51"/>
  <c r="Y55" i="51"/>
  <c r="Y51" i="51"/>
  <c r="Y46" i="51"/>
  <c r="Y37" i="51"/>
  <c r="Y30" i="51"/>
  <c r="Y16" i="51"/>
  <c r="B161" i="50"/>
  <c r="B78" i="50"/>
  <c r="AP61" i="52"/>
  <c r="AO61" i="52"/>
  <c r="AN61" i="52"/>
  <c r="AM61" i="52"/>
  <c r="AL61" i="52"/>
  <c r="AK61" i="52"/>
  <c r="AJ61" i="52"/>
  <c r="AI61" i="52"/>
  <c r="AH61" i="52"/>
  <c r="AG61" i="52"/>
  <c r="AF61" i="52"/>
  <c r="AE61" i="52"/>
  <c r="AD61" i="52"/>
  <c r="AC61" i="52"/>
  <c r="AB61" i="52"/>
  <c r="AA61" i="52"/>
  <c r="Z61" i="52"/>
  <c r="Y61" i="52"/>
  <c r="X61" i="52"/>
  <c r="W61" i="52"/>
  <c r="V61" i="52"/>
  <c r="U61" i="52"/>
  <c r="T61" i="52"/>
  <c r="S61" i="52"/>
  <c r="R61" i="52"/>
  <c r="Q61" i="52"/>
  <c r="P61" i="52"/>
  <c r="O61" i="52"/>
  <c r="N61" i="52"/>
  <c r="M61" i="52"/>
  <c r="L61" i="52"/>
  <c r="K61" i="52"/>
  <c r="J61" i="52"/>
  <c r="I61" i="52"/>
  <c r="H61" i="52"/>
  <c r="G61" i="52"/>
  <c r="F61" i="52"/>
  <c r="E61" i="52"/>
  <c r="D61" i="52"/>
  <c r="C61" i="52"/>
  <c r="AP59" i="52"/>
  <c r="AO59" i="52"/>
  <c r="AN59" i="52"/>
  <c r="AM59" i="52"/>
  <c r="AL59" i="52"/>
  <c r="AK59" i="52"/>
  <c r="AJ59" i="52"/>
  <c r="AI59" i="52"/>
  <c r="AH59" i="52"/>
  <c r="AG59" i="52"/>
  <c r="AF59" i="52"/>
  <c r="AE59" i="52"/>
  <c r="AD59" i="52"/>
  <c r="AC59" i="52"/>
  <c r="AB59" i="52"/>
  <c r="AA59" i="52"/>
  <c r="Z59" i="52"/>
  <c r="Y59" i="52"/>
  <c r="X59" i="52"/>
  <c r="W59" i="52"/>
  <c r="V59" i="52"/>
  <c r="U59" i="52"/>
  <c r="T59" i="52"/>
  <c r="S59" i="52"/>
  <c r="R59" i="52"/>
  <c r="Q59" i="52"/>
  <c r="P59" i="52"/>
  <c r="O59" i="52"/>
  <c r="N59" i="52"/>
  <c r="M59" i="52"/>
  <c r="L59" i="52"/>
  <c r="K59" i="52"/>
  <c r="J59" i="52"/>
  <c r="I59" i="52"/>
  <c r="H59" i="52"/>
  <c r="G59" i="52"/>
  <c r="F59" i="52"/>
  <c r="E59" i="52"/>
  <c r="D59" i="52"/>
  <c r="C59" i="52"/>
  <c r="AP57" i="52"/>
  <c r="AO57" i="52"/>
  <c r="AN57" i="52"/>
  <c r="AM57" i="52"/>
  <c r="AL57" i="52"/>
  <c r="AK57" i="52"/>
  <c r="AJ57" i="52"/>
  <c r="AI57" i="52"/>
  <c r="AH57" i="52"/>
  <c r="AG57" i="52"/>
  <c r="AF57" i="52"/>
  <c r="AE57" i="52"/>
  <c r="AD57" i="52"/>
  <c r="AC57" i="52"/>
  <c r="AB57" i="52"/>
  <c r="AA57" i="52"/>
  <c r="Z57" i="52"/>
  <c r="Y57" i="52"/>
  <c r="X57" i="52"/>
  <c r="W57" i="52"/>
  <c r="V57" i="52"/>
  <c r="U57" i="52"/>
  <c r="T57" i="52"/>
  <c r="S57" i="52"/>
  <c r="R57" i="52"/>
  <c r="Q57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7" i="52"/>
  <c r="C57" i="52"/>
  <c r="AP55" i="52"/>
  <c r="AO55" i="52"/>
  <c r="AN55" i="52"/>
  <c r="AM55" i="52"/>
  <c r="AL55" i="52"/>
  <c r="AK55" i="52"/>
  <c r="AJ55" i="52"/>
  <c r="AI55" i="52"/>
  <c r="AH55" i="52"/>
  <c r="AG55" i="52"/>
  <c r="AF55" i="52"/>
  <c r="AE55" i="52"/>
  <c r="AD55" i="52"/>
  <c r="AC55" i="52"/>
  <c r="AB55" i="52"/>
  <c r="AA55" i="52"/>
  <c r="Z55" i="52"/>
  <c r="Y55" i="52"/>
  <c r="X55" i="52"/>
  <c r="W55" i="52"/>
  <c r="V55" i="52"/>
  <c r="U55" i="52"/>
  <c r="T55" i="52"/>
  <c r="S55" i="52"/>
  <c r="R55" i="52"/>
  <c r="Q55" i="52"/>
  <c r="P55" i="52"/>
  <c r="O55" i="52"/>
  <c r="N55" i="52"/>
  <c r="M55" i="52"/>
  <c r="L55" i="52"/>
  <c r="K55" i="52"/>
  <c r="J55" i="52"/>
  <c r="I55" i="52"/>
  <c r="H55" i="52"/>
  <c r="G55" i="52"/>
  <c r="F55" i="52"/>
  <c r="E55" i="52"/>
  <c r="D55" i="52"/>
  <c r="C55" i="52"/>
  <c r="AP53" i="52"/>
  <c r="AO53" i="52"/>
  <c r="AN53" i="52"/>
  <c r="AM53" i="52"/>
  <c r="AL53" i="52"/>
  <c r="AK53" i="52"/>
  <c r="AJ53" i="52"/>
  <c r="AI53" i="52"/>
  <c r="AH53" i="52"/>
  <c r="AG53" i="52"/>
  <c r="AF53" i="52"/>
  <c r="AE53" i="52"/>
  <c r="AD53" i="52"/>
  <c r="AC53" i="52"/>
  <c r="AB53" i="52"/>
  <c r="AA53" i="52"/>
  <c r="Z53" i="52"/>
  <c r="Y53" i="52"/>
  <c r="X53" i="52"/>
  <c r="W53" i="52"/>
  <c r="V53" i="52"/>
  <c r="U53" i="52"/>
  <c r="T53" i="52"/>
  <c r="S53" i="52"/>
  <c r="R53" i="52"/>
  <c r="Q53" i="52"/>
  <c r="P53" i="52"/>
  <c r="O53" i="52"/>
  <c r="N53" i="52"/>
  <c r="M53" i="52"/>
  <c r="L53" i="52"/>
  <c r="K53" i="52"/>
  <c r="J53" i="52"/>
  <c r="I53" i="52"/>
  <c r="H53" i="52"/>
  <c r="G53" i="52"/>
  <c r="F53" i="52"/>
  <c r="E53" i="52"/>
  <c r="D53" i="52"/>
  <c r="C53" i="52"/>
  <c r="AP51" i="52"/>
  <c r="AO51" i="52"/>
  <c r="AN51" i="52"/>
  <c r="AM51" i="52"/>
  <c r="AL51" i="52"/>
  <c r="AK51" i="52"/>
  <c r="AJ51" i="52"/>
  <c r="AI51" i="52"/>
  <c r="AH51" i="52"/>
  <c r="AG51" i="52"/>
  <c r="AF51" i="52"/>
  <c r="AE51" i="52"/>
  <c r="AD51" i="52"/>
  <c r="AC51" i="52"/>
  <c r="AB51" i="52"/>
  <c r="AA51" i="52"/>
  <c r="Z51" i="52"/>
  <c r="Y51" i="52"/>
  <c r="X51" i="52"/>
  <c r="W51" i="52"/>
  <c r="V51" i="52"/>
  <c r="U51" i="52"/>
  <c r="T51" i="52"/>
  <c r="S51" i="52"/>
  <c r="R51" i="52"/>
  <c r="Q51" i="52"/>
  <c r="P51" i="52"/>
  <c r="O51" i="52"/>
  <c r="N51" i="52"/>
  <c r="M51" i="52"/>
  <c r="L51" i="52"/>
  <c r="K51" i="52"/>
  <c r="J51" i="52"/>
  <c r="I51" i="52"/>
  <c r="H51" i="52"/>
  <c r="G51" i="52"/>
  <c r="F51" i="52"/>
  <c r="E51" i="52"/>
  <c r="D51" i="52"/>
  <c r="C51" i="52"/>
  <c r="AP46" i="52"/>
  <c r="AO46" i="52"/>
  <c r="AN46" i="52"/>
  <c r="AM46" i="52"/>
  <c r="AL46" i="52"/>
  <c r="AK46" i="52"/>
  <c r="AJ46" i="52"/>
  <c r="AI46" i="52"/>
  <c r="AH46" i="52"/>
  <c r="AG46" i="52"/>
  <c r="AF46" i="52"/>
  <c r="AE46" i="52"/>
  <c r="AD46" i="52"/>
  <c r="AC46" i="52"/>
  <c r="AB46" i="52"/>
  <c r="AA46" i="52"/>
  <c r="Z46" i="52"/>
  <c r="Y46" i="52"/>
  <c r="X46" i="52"/>
  <c r="W46" i="52"/>
  <c r="V46" i="52"/>
  <c r="U46" i="52"/>
  <c r="T46" i="52"/>
  <c r="S46" i="52"/>
  <c r="R46" i="52"/>
  <c r="Q46" i="52"/>
  <c r="P46" i="52"/>
  <c r="O46" i="52"/>
  <c r="N46" i="52"/>
  <c r="M46" i="52"/>
  <c r="L46" i="52"/>
  <c r="K46" i="52"/>
  <c r="J46" i="52"/>
  <c r="I46" i="52"/>
  <c r="H46" i="52"/>
  <c r="G46" i="52"/>
  <c r="F46" i="52"/>
  <c r="E46" i="52"/>
  <c r="D46" i="52"/>
  <c r="C46" i="52"/>
  <c r="AP37" i="52"/>
  <c r="AO37" i="52"/>
  <c r="AN37" i="52"/>
  <c r="AM37" i="52"/>
  <c r="AL37" i="52"/>
  <c r="AK37" i="52"/>
  <c r="AJ37" i="52"/>
  <c r="AI37" i="52"/>
  <c r="AH37" i="52"/>
  <c r="AG37" i="52"/>
  <c r="AF37" i="52"/>
  <c r="AE37" i="52"/>
  <c r="AD37" i="52"/>
  <c r="AC37" i="52"/>
  <c r="AB37" i="52"/>
  <c r="AA37" i="52"/>
  <c r="Z37" i="52"/>
  <c r="Y37" i="52"/>
  <c r="X37" i="52"/>
  <c r="W37" i="52"/>
  <c r="V37" i="52"/>
  <c r="U37" i="52"/>
  <c r="T37" i="52"/>
  <c r="S37" i="52"/>
  <c r="R37" i="52"/>
  <c r="Q37" i="52"/>
  <c r="P37" i="52"/>
  <c r="O37" i="52"/>
  <c r="N37" i="52"/>
  <c r="M37" i="52"/>
  <c r="L37" i="52"/>
  <c r="K37" i="52"/>
  <c r="J37" i="52"/>
  <c r="I37" i="52"/>
  <c r="H37" i="52"/>
  <c r="G37" i="52"/>
  <c r="F37" i="52"/>
  <c r="E37" i="52"/>
  <c r="C37" i="52"/>
  <c r="D35" i="52"/>
  <c r="D37" i="52" s="1"/>
  <c r="AP30" i="52"/>
  <c r="AO30" i="52"/>
  <c r="AN30" i="52"/>
  <c r="AM30" i="52"/>
  <c r="AL30" i="52"/>
  <c r="AK30" i="52"/>
  <c r="AJ30" i="52"/>
  <c r="AI30" i="52"/>
  <c r="AH30" i="52"/>
  <c r="AG30" i="52"/>
  <c r="AF30" i="52"/>
  <c r="AE30" i="52"/>
  <c r="AD30" i="52"/>
  <c r="AC30" i="52"/>
  <c r="AB30" i="52"/>
  <c r="AA30" i="52"/>
  <c r="Z30" i="52"/>
  <c r="Y30" i="52"/>
  <c r="X30" i="52"/>
  <c r="W30" i="52"/>
  <c r="V30" i="52"/>
  <c r="U30" i="52"/>
  <c r="T30" i="52"/>
  <c r="S30" i="52"/>
  <c r="R30" i="52"/>
  <c r="Q30" i="52"/>
  <c r="P30" i="52"/>
  <c r="O30" i="52"/>
  <c r="N30" i="52"/>
  <c r="M30" i="52"/>
  <c r="L30" i="52"/>
  <c r="K30" i="52"/>
  <c r="J30" i="52"/>
  <c r="I30" i="52"/>
  <c r="H30" i="52"/>
  <c r="G30" i="52"/>
  <c r="F30" i="52"/>
  <c r="E30" i="52"/>
  <c r="D30" i="52"/>
  <c r="C30" i="52"/>
  <c r="AP16" i="52"/>
  <c r="AO16" i="52"/>
  <c r="AN16" i="52"/>
  <c r="AM16" i="52"/>
  <c r="AL16" i="52"/>
  <c r="AK16" i="52"/>
  <c r="AJ16" i="52"/>
  <c r="AI16" i="52"/>
  <c r="AH16" i="52"/>
  <c r="AG16" i="52"/>
  <c r="AF16" i="52"/>
  <c r="AE16" i="52"/>
  <c r="AD16" i="52"/>
  <c r="AC16" i="52"/>
  <c r="AB16" i="52"/>
  <c r="AA16" i="52"/>
  <c r="Z16" i="52"/>
  <c r="Y16" i="52"/>
  <c r="X16" i="52"/>
  <c r="W16" i="52"/>
  <c r="V16" i="52"/>
  <c r="U16" i="52"/>
  <c r="T16" i="52"/>
  <c r="S16" i="52"/>
  <c r="R16" i="52"/>
  <c r="Q16" i="52"/>
  <c r="P16" i="52"/>
  <c r="O16" i="52"/>
  <c r="N16" i="52"/>
  <c r="M16" i="52"/>
  <c r="L16" i="52"/>
  <c r="K16" i="52"/>
  <c r="J16" i="52"/>
  <c r="I16" i="52"/>
  <c r="H16" i="52"/>
  <c r="G16" i="52"/>
  <c r="F16" i="52"/>
  <c r="E16" i="52"/>
  <c r="C16" i="52"/>
  <c r="D4" i="52"/>
  <c r="D16" i="52" s="1"/>
  <c r="AT61" i="51"/>
  <c r="AS61" i="51"/>
  <c r="AR61" i="51"/>
  <c r="AQ61" i="51"/>
  <c r="AP61" i="51"/>
  <c r="AO61" i="51"/>
  <c r="AN61" i="51"/>
  <c r="AM61" i="51"/>
  <c r="AL61" i="51"/>
  <c r="AK61" i="51"/>
  <c r="AJ61" i="51"/>
  <c r="AI61" i="51"/>
  <c r="AH61" i="51"/>
  <c r="AG61" i="51"/>
  <c r="AF61" i="51"/>
  <c r="AE61" i="51"/>
  <c r="AD61" i="51"/>
  <c r="AC61" i="51"/>
  <c r="AB61" i="51"/>
  <c r="AA61" i="51"/>
  <c r="Z61" i="51"/>
  <c r="X61" i="51"/>
  <c r="W61" i="51"/>
  <c r="V61" i="51"/>
  <c r="U61" i="51"/>
  <c r="T61" i="51"/>
  <c r="S61" i="51"/>
  <c r="R61" i="51"/>
  <c r="Q61" i="51"/>
  <c r="P61" i="51"/>
  <c r="O61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B61" i="51"/>
  <c r="AT59" i="51"/>
  <c r="AS59" i="51"/>
  <c r="AR59" i="51"/>
  <c r="AQ59" i="51"/>
  <c r="AP59" i="51"/>
  <c r="AO59" i="51"/>
  <c r="AN59" i="51"/>
  <c r="AM59" i="51"/>
  <c r="AL59" i="51"/>
  <c r="AK59" i="51"/>
  <c r="AJ59" i="51"/>
  <c r="AI59" i="51"/>
  <c r="AH59" i="51"/>
  <c r="AG59" i="51"/>
  <c r="AF59" i="51"/>
  <c r="AE59" i="51"/>
  <c r="AD59" i="51"/>
  <c r="AC59" i="51"/>
  <c r="AB59" i="51"/>
  <c r="AA59" i="51"/>
  <c r="Z59" i="51"/>
  <c r="X59" i="51"/>
  <c r="W59" i="51"/>
  <c r="V59" i="51"/>
  <c r="U59" i="51"/>
  <c r="T59" i="51"/>
  <c r="S59" i="51"/>
  <c r="R59" i="51"/>
  <c r="Q59" i="51"/>
  <c r="P59" i="51"/>
  <c r="O59" i="51"/>
  <c r="N59" i="51"/>
  <c r="M59" i="51"/>
  <c r="L59" i="51"/>
  <c r="K59" i="51"/>
  <c r="J59" i="51"/>
  <c r="I59" i="51"/>
  <c r="H59" i="51"/>
  <c r="G59" i="51"/>
  <c r="F59" i="51"/>
  <c r="E59" i="51"/>
  <c r="D59" i="51"/>
  <c r="C59" i="51"/>
  <c r="B59" i="51"/>
  <c r="AT57" i="51"/>
  <c r="AS57" i="51"/>
  <c r="AR57" i="51"/>
  <c r="AQ57" i="51"/>
  <c r="AP57" i="51"/>
  <c r="AO57" i="51"/>
  <c r="AN57" i="51"/>
  <c r="AM57" i="51"/>
  <c r="AL57" i="51"/>
  <c r="AK57" i="51"/>
  <c r="AJ57" i="51"/>
  <c r="AI57" i="51"/>
  <c r="AH57" i="51"/>
  <c r="AG57" i="51"/>
  <c r="AF57" i="51"/>
  <c r="AE57" i="51"/>
  <c r="AD57" i="51"/>
  <c r="AC57" i="51"/>
  <c r="AB57" i="51"/>
  <c r="AA57" i="51"/>
  <c r="Z57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7" i="51"/>
  <c r="C57" i="51"/>
  <c r="B57" i="51"/>
  <c r="AT55" i="51"/>
  <c r="AS55" i="51"/>
  <c r="AR55" i="51"/>
  <c r="AQ55" i="51"/>
  <c r="AP55" i="51"/>
  <c r="AO55" i="51"/>
  <c r="AN55" i="51"/>
  <c r="AM55" i="51"/>
  <c r="AL55" i="51"/>
  <c r="AK55" i="51"/>
  <c r="AJ55" i="51"/>
  <c r="AI55" i="51"/>
  <c r="AH55" i="51"/>
  <c r="AG55" i="51"/>
  <c r="AF55" i="51"/>
  <c r="AE55" i="51"/>
  <c r="AD55" i="51"/>
  <c r="AC55" i="51"/>
  <c r="AB55" i="51"/>
  <c r="AA55" i="51"/>
  <c r="Z55" i="51"/>
  <c r="X55" i="51"/>
  <c r="W55" i="51"/>
  <c r="V55" i="51"/>
  <c r="U55" i="51"/>
  <c r="T55" i="51"/>
  <c r="S55" i="51"/>
  <c r="R55" i="51"/>
  <c r="Q55" i="51"/>
  <c r="P55" i="51"/>
  <c r="O55" i="51"/>
  <c r="N55" i="51"/>
  <c r="M55" i="51"/>
  <c r="L55" i="51"/>
  <c r="K55" i="51"/>
  <c r="J55" i="51"/>
  <c r="I55" i="51"/>
  <c r="H55" i="51"/>
  <c r="G55" i="51"/>
  <c r="F55" i="51"/>
  <c r="E55" i="51"/>
  <c r="D55" i="51"/>
  <c r="C55" i="51"/>
  <c r="B55" i="51"/>
  <c r="AT51" i="51"/>
  <c r="AS51" i="51"/>
  <c r="AR51" i="51"/>
  <c r="AQ51" i="51"/>
  <c r="AP51" i="51"/>
  <c r="AO51" i="51"/>
  <c r="AN51" i="51"/>
  <c r="AM51" i="51"/>
  <c r="AL51" i="51"/>
  <c r="AK51" i="51"/>
  <c r="AJ51" i="51"/>
  <c r="AI51" i="51"/>
  <c r="AH51" i="51"/>
  <c r="AG51" i="51"/>
  <c r="AF51" i="51"/>
  <c r="AE51" i="51"/>
  <c r="AD51" i="51"/>
  <c r="AC51" i="51"/>
  <c r="AB51" i="51"/>
  <c r="AA51" i="51"/>
  <c r="Z51" i="51"/>
  <c r="X51" i="51"/>
  <c r="W51" i="51"/>
  <c r="V51" i="51"/>
  <c r="U51" i="51"/>
  <c r="T51" i="51"/>
  <c r="S51" i="51"/>
  <c r="R51" i="51"/>
  <c r="Q51" i="51"/>
  <c r="P51" i="51"/>
  <c r="O51" i="51"/>
  <c r="N51" i="51"/>
  <c r="M51" i="51"/>
  <c r="L51" i="51"/>
  <c r="K51" i="51"/>
  <c r="J51" i="51"/>
  <c r="I51" i="51"/>
  <c r="H51" i="51"/>
  <c r="G51" i="51"/>
  <c r="F51" i="51"/>
  <c r="E51" i="51"/>
  <c r="D51" i="51"/>
  <c r="C51" i="51"/>
  <c r="B51" i="51"/>
  <c r="AT46" i="51"/>
  <c r="AS46" i="51"/>
  <c r="AR46" i="51"/>
  <c r="AQ46" i="51"/>
  <c r="AP46" i="51"/>
  <c r="AO46" i="51"/>
  <c r="AN46" i="51"/>
  <c r="AM46" i="51"/>
  <c r="AL46" i="51"/>
  <c r="AK46" i="51"/>
  <c r="AJ46" i="51"/>
  <c r="AI46" i="51"/>
  <c r="AH46" i="51"/>
  <c r="AG46" i="51"/>
  <c r="AF46" i="51"/>
  <c r="AE46" i="51"/>
  <c r="AD46" i="51"/>
  <c r="AC46" i="51"/>
  <c r="AB46" i="51"/>
  <c r="AA46" i="51"/>
  <c r="Z46" i="51"/>
  <c r="X46" i="51"/>
  <c r="W46" i="51"/>
  <c r="V46" i="51"/>
  <c r="U46" i="51"/>
  <c r="T46" i="51"/>
  <c r="S46" i="51"/>
  <c r="R46" i="51"/>
  <c r="Q46" i="51"/>
  <c r="P46" i="51"/>
  <c r="O46" i="51"/>
  <c r="N46" i="51"/>
  <c r="M46" i="51"/>
  <c r="L46" i="51"/>
  <c r="K46" i="51"/>
  <c r="J46" i="51"/>
  <c r="I46" i="51"/>
  <c r="H46" i="51"/>
  <c r="G46" i="51"/>
  <c r="F46" i="51"/>
  <c r="E46" i="51"/>
  <c r="D46" i="51"/>
  <c r="C46" i="51"/>
  <c r="B46" i="51"/>
  <c r="AT37" i="51"/>
  <c r="AS37" i="51"/>
  <c r="AR37" i="51"/>
  <c r="AQ37" i="51"/>
  <c r="AP37" i="51"/>
  <c r="AO37" i="51"/>
  <c r="AN37" i="51"/>
  <c r="AM37" i="51"/>
  <c r="AL37" i="51"/>
  <c r="AK37" i="51"/>
  <c r="AJ37" i="51"/>
  <c r="AI37" i="51"/>
  <c r="AH37" i="51"/>
  <c r="AG37" i="51"/>
  <c r="AF37" i="51"/>
  <c r="AE37" i="51"/>
  <c r="AD37" i="51"/>
  <c r="AC37" i="51"/>
  <c r="AB37" i="51"/>
  <c r="AA37" i="51"/>
  <c r="Z37" i="51"/>
  <c r="X37" i="51"/>
  <c r="W37" i="51"/>
  <c r="V37" i="51"/>
  <c r="U37" i="51"/>
  <c r="T37" i="51"/>
  <c r="S37" i="51"/>
  <c r="R37" i="51"/>
  <c r="Q37" i="51"/>
  <c r="P37" i="51"/>
  <c r="O37" i="51"/>
  <c r="N37" i="51"/>
  <c r="M37" i="51"/>
  <c r="L37" i="51"/>
  <c r="K37" i="51"/>
  <c r="J37" i="51"/>
  <c r="I37" i="51"/>
  <c r="H37" i="51"/>
  <c r="E37" i="51"/>
  <c r="C37" i="51"/>
  <c r="B37" i="51"/>
  <c r="G35" i="51"/>
  <c r="G37" i="51" s="1"/>
  <c r="F35" i="51"/>
  <c r="F37" i="51" s="1"/>
  <c r="D35" i="51"/>
  <c r="D37" i="51" s="1"/>
  <c r="AT30" i="51"/>
  <c r="AS30" i="51"/>
  <c r="AR30" i="51"/>
  <c r="AQ30" i="51"/>
  <c r="AP30" i="51"/>
  <c r="AO30" i="51"/>
  <c r="AN30" i="51"/>
  <c r="AM30" i="51"/>
  <c r="AL30" i="51"/>
  <c r="AK30" i="51"/>
  <c r="AJ30" i="51"/>
  <c r="AI30" i="51"/>
  <c r="AH30" i="51"/>
  <c r="AG30" i="51"/>
  <c r="AF30" i="51"/>
  <c r="AE30" i="51"/>
  <c r="AD30" i="51"/>
  <c r="AC30" i="51"/>
  <c r="AB30" i="51"/>
  <c r="AA30" i="51"/>
  <c r="Z30" i="51"/>
  <c r="X30" i="51"/>
  <c r="W30" i="51"/>
  <c r="V30" i="51"/>
  <c r="U30" i="51"/>
  <c r="T30" i="51"/>
  <c r="S30" i="51"/>
  <c r="R30" i="51"/>
  <c r="Q30" i="51"/>
  <c r="P30" i="51"/>
  <c r="O30" i="51"/>
  <c r="N30" i="51"/>
  <c r="M30" i="51"/>
  <c r="L30" i="51"/>
  <c r="K30" i="51"/>
  <c r="J30" i="51"/>
  <c r="I30" i="51"/>
  <c r="H30" i="51"/>
  <c r="G30" i="51"/>
  <c r="F30" i="51"/>
  <c r="E30" i="51"/>
  <c r="D30" i="51"/>
  <c r="C30" i="51"/>
  <c r="B30" i="51"/>
  <c r="AT16" i="51"/>
  <c r="AS16" i="51"/>
  <c r="AR16" i="51"/>
  <c r="AQ16" i="51"/>
  <c r="AP16" i="51"/>
  <c r="AO16" i="51"/>
  <c r="AN16" i="51"/>
  <c r="AM16" i="51"/>
  <c r="AL16" i="51"/>
  <c r="AK16" i="51"/>
  <c r="AJ16" i="51"/>
  <c r="AI16" i="51"/>
  <c r="AH16" i="51"/>
  <c r="AG16" i="51"/>
  <c r="AF16" i="51"/>
  <c r="AE16" i="51"/>
  <c r="AD16" i="51"/>
  <c r="AC16" i="51"/>
  <c r="AB16" i="51"/>
  <c r="AA16" i="51"/>
  <c r="Z16" i="51"/>
  <c r="X16" i="51"/>
  <c r="W16" i="51"/>
  <c r="V16" i="51"/>
  <c r="U16" i="51"/>
  <c r="T16" i="51"/>
  <c r="S16" i="51"/>
  <c r="R16" i="51"/>
  <c r="Q16" i="51"/>
  <c r="P16" i="51"/>
  <c r="O16" i="51"/>
  <c r="N16" i="51"/>
  <c r="M16" i="51"/>
  <c r="L16" i="51"/>
  <c r="K16" i="51"/>
  <c r="J16" i="51"/>
  <c r="I16" i="51"/>
  <c r="H16" i="51"/>
  <c r="E16" i="51"/>
  <c r="C16" i="51"/>
  <c r="B16" i="51"/>
  <c r="G4" i="51"/>
  <c r="G16" i="51" s="1"/>
  <c r="F4" i="51"/>
  <c r="F16" i="51" s="1"/>
  <c r="D4" i="51"/>
  <c r="D16" i="51" s="1"/>
  <c r="AE38" i="58" l="1"/>
  <c r="Q10" i="57"/>
  <c r="Q27" i="57"/>
  <c r="AG10" i="57"/>
  <c r="AG27" i="57"/>
  <c r="AS10" i="57"/>
  <c r="AS27" i="57"/>
  <c r="B27" i="57"/>
  <c r="B10" i="57"/>
  <c r="F27" i="57"/>
  <c r="F10" i="57"/>
  <c r="J27" i="57"/>
  <c r="J10" i="57"/>
  <c r="N27" i="57"/>
  <c r="N10" i="57"/>
  <c r="R27" i="57"/>
  <c r="R10" i="57"/>
  <c r="V27" i="57"/>
  <c r="V10" i="57"/>
  <c r="Z27" i="57"/>
  <c r="Z10" i="57"/>
  <c r="AD27" i="57"/>
  <c r="AD10" i="57"/>
  <c r="AH27" i="57"/>
  <c r="AH10" i="57"/>
  <c r="AL27" i="57"/>
  <c r="AL10" i="57"/>
  <c r="AP27" i="57"/>
  <c r="AP10" i="57"/>
  <c r="AT27" i="57"/>
  <c r="AT10" i="57"/>
  <c r="D10" i="57"/>
  <c r="D27" i="57"/>
  <c r="H10" i="57"/>
  <c r="H27" i="57"/>
  <c r="N45" i="57"/>
  <c r="N36" i="57"/>
  <c r="E10" i="57"/>
  <c r="E27" i="57"/>
  <c r="I10" i="57"/>
  <c r="I27" i="57"/>
  <c r="T10" i="57"/>
  <c r="T27" i="57"/>
  <c r="X10" i="57"/>
  <c r="X27" i="57"/>
  <c r="AJ10" i="57"/>
  <c r="AJ27" i="57"/>
  <c r="AN10" i="57"/>
  <c r="AN27" i="57"/>
  <c r="L10" i="57"/>
  <c r="L27" i="57"/>
  <c r="P10" i="57"/>
  <c r="P27" i="57"/>
  <c r="AB10" i="57"/>
  <c r="AB27" i="57"/>
  <c r="AF10" i="57"/>
  <c r="AF27" i="57"/>
  <c r="U10" i="57"/>
  <c r="U27" i="57"/>
  <c r="Y10" i="57"/>
  <c r="Y27" i="57"/>
  <c r="AK10" i="57"/>
  <c r="AK27" i="57"/>
  <c r="AO10" i="57"/>
  <c r="AO27" i="57"/>
  <c r="F43" i="57"/>
  <c r="F46" i="57"/>
  <c r="F45" i="57"/>
  <c r="F36" i="57"/>
  <c r="G10" i="57"/>
  <c r="O10" i="57"/>
  <c r="W10" i="57"/>
  <c r="AE10" i="57"/>
  <c r="AM10" i="57"/>
  <c r="AU10" i="57"/>
  <c r="C46" i="57"/>
  <c r="C37" i="57"/>
  <c r="G46" i="57"/>
  <c r="G43" i="57"/>
  <c r="G37" i="57"/>
  <c r="G18" i="57"/>
  <c r="O46" i="57"/>
  <c r="O43" i="57"/>
  <c r="O37" i="57"/>
  <c r="O18" i="57"/>
  <c r="AR9" i="57"/>
  <c r="C44" i="57"/>
  <c r="C40" i="57"/>
  <c r="C45" i="57"/>
  <c r="G44" i="57"/>
  <c r="G40" i="57"/>
  <c r="K44" i="57"/>
  <c r="K40" i="57"/>
  <c r="O44" i="57"/>
  <c r="O40" i="57"/>
  <c r="S46" i="57"/>
  <c r="S44" i="57"/>
  <c r="S40" i="57"/>
  <c r="S45" i="57"/>
  <c r="W46" i="57"/>
  <c r="W44" i="57"/>
  <c r="W40" i="57"/>
  <c r="W43" i="57"/>
  <c r="AA46" i="57"/>
  <c r="AA44" i="57"/>
  <c r="AA40" i="57"/>
  <c r="AA45" i="57"/>
  <c r="AE46" i="57"/>
  <c r="AE44" i="57"/>
  <c r="AE40" i="57"/>
  <c r="AE43" i="57"/>
  <c r="AI46" i="57"/>
  <c r="AI44" i="57"/>
  <c r="AI40" i="57"/>
  <c r="AI45" i="57"/>
  <c r="AM46" i="57"/>
  <c r="AM44" i="57"/>
  <c r="AM40" i="57"/>
  <c r="AM43" i="57"/>
  <c r="AQ46" i="57"/>
  <c r="AQ44" i="57"/>
  <c r="AQ40" i="57"/>
  <c r="AQ45" i="57"/>
  <c r="AU46" i="57"/>
  <c r="AU44" i="57"/>
  <c r="AU40" i="57"/>
  <c r="AU43" i="57"/>
  <c r="C43" i="57"/>
  <c r="S43" i="57"/>
  <c r="AI43" i="57"/>
  <c r="W45" i="57"/>
  <c r="AM45" i="57"/>
  <c r="N43" i="57"/>
  <c r="N46" i="57"/>
  <c r="K9" i="57"/>
  <c r="K46" i="57"/>
  <c r="K37" i="57"/>
  <c r="K18" i="57"/>
  <c r="M36" i="57"/>
  <c r="F37" i="57"/>
  <c r="N37" i="57"/>
  <c r="C10" i="57"/>
  <c r="S10" i="57"/>
  <c r="AA10" i="57"/>
  <c r="AI10" i="57"/>
  <c r="AQ10" i="57"/>
  <c r="J18" i="57"/>
  <c r="M27" i="57"/>
  <c r="AC27" i="57"/>
  <c r="I36" i="57"/>
  <c r="J37" i="57"/>
  <c r="D44" i="57"/>
  <c r="D40" i="57"/>
  <c r="D45" i="57"/>
  <c r="H44" i="57"/>
  <c r="H40" i="57"/>
  <c r="L44" i="57"/>
  <c r="L40" i="57"/>
  <c r="P44" i="57"/>
  <c r="P40" i="57"/>
  <c r="T46" i="57"/>
  <c r="T44" i="57"/>
  <c r="T40" i="57"/>
  <c r="T45" i="57"/>
  <c r="X46" i="57"/>
  <c r="X44" i="57"/>
  <c r="X40" i="57"/>
  <c r="X43" i="57"/>
  <c r="AB46" i="57"/>
  <c r="AB44" i="57"/>
  <c r="AB40" i="57"/>
  <c r="AB45" i="57"/>
  <c r="AF46" i="57"/>
  <c r="AF44" i="57"/>
  <c r="AF40" i="57"/>
  <c r="AF43" i="57"/>
  <c r="AJ46" i="57"/>
  <c r="AJ44" i="57"/>
  <c r="AJ40" i="57"/>
  <c r="AJ45" i="57"/>
  <c r="AN46" i="57"/>
  <c r="AN44" i="57"/>
  <c r="AN40" i="57"/>
  <c r="AN43" i="57"/>
  <c r="AR46" i="57"/>
  <c r="AR44" i="57"/>
  <c r="AR40" i="57"/>
  <c r="AR45" i="57"/>
  <c r="AV46" i="57"/>
  <c r="AV44" i="57"/>
  <c r="AV40" i="57"/>
  <c r="AV43" i="57"/>
  <c r="P41" i="57"/>
  <c r="AF41" i="57"/>
  <c r="AV41" i="57"/>
  <c r="D43" i="57"/>
  <c r="T43" i="57"/>
  <c r="AJ43" i="57"/>
  <c r="H45" i="57"/>
  <c r="X45" i="57"/>
  <c r="AN45" i="57"/>
  <c r="J46" i="57"/>
  <c r="D46" i="57"/>
  <c r="H46" i="57"/>
  <c r="L46" i="57"/>
  <c r="P46" i="57"/>
  <c r="Q45" i="57"/>
  <c r="Q43" i="57"/>
  <c r="U45" i="57"/>
  <c r="U43" i="57"/>
  <c r="Y45" i="57"/>
  <c r="Y43" i="57"/>
  <c r="AC45" i="57"/>
  <c r="AC43" i="57"/>
  <c r="AG45" i="57"/>
  <c r="AG43" i="57"/>
  <c r="AK45" i="57"/>
  <c r="AK43" i="57"/>
  <c r="AO45" i="57"/>
  <c r="AO43" i="57"/>
  <c r="AS45" i="57"/>
  <c r="AS43" i="57"/>
  <c r="I40" i="57"/>
  <c r="Q40" i="57"/>
  <c r="Y40" i="57"/>
  <c r="AG40" i="57"/>
  <c r="AO40" i="57"/>
  <c r="Q44" i="57"/>
  <c r="Y44" i="57"/>
  <c r="AG44" i="57"/>
  <c r="AO44" i="57"/>
  <c r="E46" i="57"/>
  <c r="M46" i="57"/>
  <c r="U46" i="57"/>
  <c r="AC46" i="57"/>
  <c r="AK46" i="57"/>
  <c r="AS46" i="57"/>
  <c r="D37" i="57"/>
  <c r="H37" i="57"/>
  <c r="L37" i="57"/>
  <c r="P37" i="57"/>
  <c r="R45" i="57"/>
  <c r="R43" i="57"/>
  <c r="V45" i="57"/>
  <c r="V43" i="57"/>
  <c r="Z45" i="57"/>
  <c r="Z43" i="57"/>
  <c r="AD45" i="57"/>
  <c r="AD43" i="57"/>
  <c r="AH45" i="57"/>
  <c r="AH43" i="57"/>
  <c r="AL45" i="57"/>
  <c r="AL43" i="57"/>
  <c r="AP45" i="57"/>
  <c r="AP43" i="57"/>
  <c r="AT45" i="57"/>
  <c r="AT43" i="57"/>
  <c r="J40" i="57"/>
  <c r="R40" i="57"/>
  <c r="Z40" i="57"/>
  <c r="AH40" i="57"/>
  <c r="AP40" i="57"/>
  <c r="H43" i="57"/>
  <c r="P43" i="57"/>
  <c r="R44" i="57"/>
  <c r="Z44" i="57"/>
  <c r="AH44" i="57"/>
  <c r="AP44" i="57"/>
  <c r="V46" i="57"/>
  <c r="AD46" i="57"/>
  <c r="AL46" i="57"/>
  <c r="AT46" i="57"/>
  <c r="AN80" i="51"/>
  <c r="AJ80" i="51"/>
  <c r="AB80" i="51"/>
  <c r="T80" i="51"/>
  <c r="L80" i="51"/>
  <c r="D80" i="51"/>
  <c r="AN166" i="51"/>
  <c r="AF166" i="51"/>
  <c r="X166" i="51"/>
  <c r="P166" i="51"/>
  <c r="H166" i="51"/>
  <c r="AR80" i="51"/>
  <c r="AF80" i="51"/>
  <c r="X80" i="51"/>
  <c r="P80" i="51"/>
  <c r="H80" i="51"/>
  <c r="AR166" i="51"/>
  <c r="AJ166" i="51"/>
  <c r="AB166" i="51"/>
  <c r="T166" i="51"/>
  <c r="L166" i="51"/>
  <c r="D166" i="51"/>
  <c r="AS80" i="51"/>
  <c r="AO80" i="51"/>
  <c r="AK80" i="51"/>
  <c r="AG80" i="51"/>
  <c r="AC80" i="51"/>
  <c r="Y80" i="51"/>
  <c r="U80" i="51"/>
  <c r="Q80" i="51"/>
  <c r="M80" i="51"/>
  <c r="I80" i="51"/>
  <c r="E80" i="51"/>
  <c r="AS166" i="51"/>
  <c r="AO166" i="51"/>
  <c r="AK166" i="51"/>
  <c r="AG166" i="51"/>
  <c r="AC166" i="51"/>
  <c r="Y166" i="51"/>
  <c r="U166" i="51"/>
  <c r="Q166" i="51"/>
  <c r="M166" i="51"/>
  <c r="I166" i="51"/>
  <c r="E166" i="51"/>
  <c r="B62" i="52"/>
  <c r="Q62" i="52"/>
  <c r="AC62" i="52"/>
  <c r="G62" i="52"/>
  <c r="M62" i="52"/>
  <c r="U62" i="52"/>
  <c r="Y62" i="52"/>
  <c r="AG62" i="52"/>
  <c r="AK62" i="52"/>
  <c r="AO62" i="52"/>
  <c r="H62" i="52"/>
  <c r="I62" i="52"/>
  <c r="E62" i="52"/>
  <c r="F62" i="52"/>
  <c r="W148" i="51"/>
  <c r="Z148" i="51"/>
  <c r="AD148" i="51"/>
  <c r="AH148" i="51"/>
  <c r="AL148" i="51"/>
  <c r="AP148" i="51"/>
  <c r="AR148" i="51"/>
  <c r="AB148" i="51"/>
  <c r="AF148" i="51"/>
  <c r="AJ148" i="51"/>
  <c r="AN148" i="51"/>
  <c r="AT148" i="51"/>
  <c r="B148" i="51"/>
  <c r="G148" i="51"/>
  <c r="I148" i="51"/>
  <c r="K148" i="51"/>
  <c r="M148" i="51"/>
  <c r="O148" i="51"/>
  <c r="Q148" i="51"/>
  <c r="S148" i="51"/>
  <c r="U148" i="51"/>
  <c r="Y148" i="51"/>
  <c r="AA148" i="51"/>
  <c r="AC148" i="51"/>
  <c r="AE148" i="51"/>
  <c r="AG148" i="51"/>
  <c r="AI148" i="51"/>
  <c r="AK148" i="51"/>
  <c r="AM148" i="51"/>
  <c r="AO148" i="51"/>
  <c r="AQ148" i="51"/>
  <c r="AS148" i="51"/>
  <c r="C148" i="51"/>
  <c r="F148" i="51"/>
  <c r="H148" i="51"/>
  <c r="J148" i="51"/>
  <c r="L148" i="51"/>
  <c r="N148" i="51"/>
  <c r="P148" i="51"/>
  <c r="R148" i="51"/>
  <c r="T148" i="51"/>
  <c r="V148" i="51"/>
  <c r="E148" i="51"/>
  <c r="D148" i="51"/>
  <c r="Y62" i="51"/>
  <c r="M62" i="51"/>
  <c r="S62" i="51"/>
  <c r="H62" i="51"/>
  <c r="L62" i="51"/>
  <c r="P62" i="51"/>
  <c r="T62" i="51"/>
  <c r="X62" i="51"/>
  <c r="AB62" i="51"/>
  <c r="AF62" i="51"/>
  <c r="AR62" i="51"/>
  <c r="D62" i="52"/>
  <c r="C62" i="52"/>
  <c r="J62" i="52"/>
  <c r="N62" i="52"/>
  <c r="R62" i="52"/>
  <c r="V62" i="52"/>
  <c r="K62" i="52"/>
  <c r="O62" i="52"/>
  <c r="S62" i="52"/>
  <c r="W62" i="52"/>
  <c r="AA62" i="52"/>
  <c r="AE62" i="52"/>
  <c r="AI62" i="52"/>
  <c r="AM62" i="52"/>
  <c r="L62" i="52"/>
  <c r="P62" i="52"/>
  <c r="T62" i="52"/>
  <c r="X62" i="52"/>
  <c r="AB62" i="52"/>
  <c r="AF62" i="52"/>
  <c r="AJ62" i="52"/>
  <c r="AN62" i="52"/>
  <c r="Z62" i="52"/>
  <c r="AD62" i="52"/>
  <c r="AH62" i="52"/>
  <c r="AL62" i="52"/>
  <c r="AP62" i="52"/>
  <c r="C62" i="51"/>
  <c r="O62" i="51"/>
  <c r="K62" i="51"/>
  <c r="D62" i="51"/>
  <c r="AJ62" i="51"/>
  <c r="AN62" i="51"/>
  <c r="B62" i="51"/>
  <c r="E62" i="51"/>
  <c r="AC62" i="51"/>
  <c r="I62" i="51"/>
  <c r="Q62" i="51"/>
  <c r="U62" i="51"/>
  <c r="AG62" i="51"/>
  <c r="AK62" i="51"/>
  <c r="AO62" i="51"/>
  <c r="AS62" i="51"/>
  <c r="F62" i="51"/>
  <c r="J62" i="51"/>
  <c r="N62" i="51"/>
  <c r="R62" i="51"/>
  <c r="V62" i="51"/>
  <c r="Z62" i="51"/>
  <c r="AD62" i="51"/>
  <c r="AH62" i="51"/>
  <c r="AL62" i="51"/>
  <c r="AP62" i="51"/>
  <c r="AT62" i="51"/>
  <c r="G62" i="51"/>
  <c r="W62" i="51"/>
  <c r="AA62" i="51"/>
  <c r="AE62" i="51"/>
  <c r="AI62" i="51"/>
  <c r="AM62" i="51"/>
  <c r="AQ62" i="51"/>
  <c r="G36" i="57" l="1"/>
  <c r="G45" i="57"/>
  <c r="J45" i="57"/>
  <c r="J36" i="57"/>
  <c r="K27" i="57"/>
  <c r="K10" i="57"/>
  <c r="O36" i="57"/>
  <c r="O45" i="57"/>
  <c r="K36" i="57"/>
  <c r="K45" i="57"/>
  <c r="AR10" i="57"/>
  <c r="AR27" i="57"/>
  <c r="AV37" i="49"/>
  <c r="AU37" i="49"/>
  <c r="AT37" i="49"/>
  <c r="AS37" i="49"/>
  <c r="AR37" i="49"/>
  <c r="AQ37" i="49"/>
  <c r="AP37" i="49"/>
  <c r="AO37" i="49"/>
  <c r="AN37" i="49"/>
  <c r="AM37" i="49"/>
  <c r="AL37" i="49"/>
  <c r="AK37" i="49"/>
  <c r="AJ37" i="49"/>
  <c r="AI37" i="49"/>
  <c r="AH37" i="49"/>
  <c r="AG37" i="49"/>
  <c r="AF37" i="49"/>
  <c r="AE37" i="49"/>
  <c r="AD37" i="49"/>
  <c r="AC37" i="49"/>
  <c r="AB37" i="49"/>
  <c r="AA37" i="49"/>
  <c r="Z37" i="49"/>
  <c r="Y37" i="49"/>
  <c r="X37" i="49"/>
  <c r="W37" i="49"/>
  <c r="V37" i="49"/>
  <c r="U37" i="49"/>
  <c r="T37" i="49"/>
  <c r="S37" i="49"/>
  <c r="R37" i="49"/>
  <c r="Q37" i="49"/>
  <c r="AV36" i="49"/>
  <c r="AU36" i="49"/>
  <c r="AT36" i="49"/>
  <c r="AS36" i="49"/>
  <c r="AR36" i="49"/>
  <c r="AQ36" i="49"/>
  <c r="AP36" i="49"/>
  <c r="AO36" i="49"/>
  <c r="AN36" i="49"/>
  <c r="AM36" i="49"/>
  <c r="AL36" i="49"/>
  <c r="AK36" i="49"/>
  <c r="AJ36" i="49"/>
  <c r="AI36" i="49"/>
  <c r="AH36" i="49"/>
  <c r="AG36" i="49"/>
  <c r="AF36" i="49"/>
  <c r="AE36" i="49"/>
  <c r="AD36" i="49"/>
  <c r="AC36" i="49"/>
  <c r="AB36" i="49"/>
  <c r="AA36" i="49"/>
  <c r="Z36" i="49"/>
  <c r="Y36" i="49"/>
  <c r="X36" i="49"/>
  <c r="W36" i="49"/>
  <c r="V36" i="49"/>
  <c r="U36" i="49"/>
  <c r="T36" i="49"/>
  <c r="S36" i="49"/>
  <c r="R36" i="49"/>
  <c r="Q36" i="49"/>
  <c r="D36" i="49"/>
  <c r="C36" i="49"/>
  <c r="B36" i="49"/>
  <c r="AV35" i="49"/>
  <c r="AU35" i="49"/>
  <c r="AT35" i="49"/>
  <c r="AS35" i="49"/>
  <c r="AR35" i="49"/>
  <c r="AQ35" i="49"/>
  <c r="AP35" i="49"/>
  <c r="AO35" i="49"/>
  <c r="AN35" i="49"/>
  <c r="AM35" i="49"/>
  <c r="AL35" i="49"/>
  <c r="AK35" i="49"/>
  <c r="AJ35" i="49"/>
  <c r="AI35" i="49"/>
  <c r="AH35" i="49"/>
  <c r="AG35" i="49"/>
  <c r="AF35" i="49"/>
  <c r="AE35" i="49"/>
  <c r="AD35" i="49"/>
  <c r="AC35" i="49"/>
  <c r="AB35" i="49"/>
  <c r="AA35" i="49"/>
  <c r="Z35" i="49"/>
  <c r="Y35" i="49"/>
  <c r="X35" i="49"/>
  <c r="W35" i="49"/>
  <c r="V35" i="49"/>
  <c r="U35" i="49"/>
  <c r="T35" i="49"/>
  <c r="S35" i="49"/>
  <c r="R35" i="49"/>
  <c r="Q35" i="49"/>
  <c r="P35" i="49"/>
  <c r="O35" i="49"/>
  <c r="N35" i="49"/>
  <c r="M35" i="49"/>
  <c r="L35" i="49"/>
  <c r="K35" i="49"/>
  <c r="J35" i="49"/>
  <c r="I35" i="49"/>
  <c r="H35" i="49"/>
  <c r="G35" i="49"/>
  <c r="F35" i="49"/>
  <c r="E35" i="49"/>
  <c r="D35" i="49"/>
  <c r="C35" i="49"/>
  <c r="B35" i="49"/>
  <c r="AV34" i="49"/>
  <c r="AU34" i="49"/>
  <c r="AT34" i="49"/>
  <c r="AS34" i="49"/>
  <c r="AR34" i="49"/>
  <c r="AQ34" i="49"/>
  <c r="AP34" i="49"/>
  <c r="AO34" i="49"/>
  <c r="AN34" i="49"/>
  <c r="AM34" i="49"/>
  <c r="AL34" i="49"/>
  <c r="AK34" i="49"/>
  <c r="AJ34" i="49"/>
  <c r="AI34" i="49"/>
  <c r="AH34" i="49"/>
  <c r="AG34" i="49"/>
  <c r="AF34" i="49"/>
  <c r="AE34" i="49"/>
  <c r="AD34" i="49"/>
  <c r="AC34" i="49"/>
  <c r="AB34" i="49"/>
  <c r="AA34" i="49"/>
  <c r="Z34" i="49"/>
  <c r="Y34" i="49"/>
  <c r="X34" i="49"/>
  <c r="W34" i="49"/>
  <c r="V34" i="49"/>
  <c r="U34" i="49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E34" i="49"/>
  <c r="D34" i="49"/>
  <c r="C34" i="49"/>
  <c r="B34" i="49"/>
  <c r="AV31" i="49"/>
  <c r="AU31" i="49"/>
  <c r="AT31" i="49"/>
  <c r="AS31" i="49"/>
  <c r="AR31" i="49"/>
  <c r="AQ31" i="49"/>
  <c r="AP31" i="49"/>
  <c r="AO31" i="49"/>
  <c r="AN31" i="49"/>
  <c r="AM31" i="49"/>
  <c r="AL31" i="49"/>
  <c r="AK31" i="49"/>
  <c r="AJ31" i="49"/>
  <c r="AI31" i="49"/>
  <c r="AH31" i="49"/>
  <c r="AG31" i="49"/>
  <c r="AF31" i="49"/>
  <c r="AE31" i="49"/>
  <c r="AD31" i="49"/>
  <c r="AC31" i="49"/>
  <c r="AB31" i="49"/>
  <c r="AA31" i="49"/>
  <c r="Z31" i="49"/>
  <c r="Y31" i="49"/>
  <c r="X31" i="49"/>
  <c r="W31" i="49"/>
  <c r="V31" i="49"/>
  <c r="U31" i="49"/>
  <c r="T31" i="49"/>
  <c r="S31" i="49"/>
  <c r="R31" i="49"/>
  <c r="Q31" i="49"/>
  <c r="P31" i="49"/>
  <c r="O31" i="49"/>
  <c r="N31" i="49"/>
  <c r="M31" i="49"/>
  <c r="L31" i="49"/>
  <c r="K31" i="49"/>
  <c r="J31" i="49"/>
  <c r="I31" i="49"/>
  <c r="H31" i="49"/>
  <c r="G31" i="49"/>
  <c r="F31" i="49"/>
  <c r="E31" i="49"/>
  <c r="D31" i="49"/>
  <c r="C31" i="49"/>
  <c r="B31" i="49"/>
  <c r="N26" i="49"/>
  <c r="M26" i="49"/>
  <c r="L26" i="49"/>
  <c r="K26" i="49"/>
  <c r="J26" i="49"/>
  <c r="I26" i="49"/>
  <c r="B26" i="49"/>
  <c r="AV23" i="49"/>
  <c r="AU23" i="49"/>
  <c r="AT23" i="49"/>
  <c r="AS23" i="49"/>
  <c r="AR23" i="49"/>
  <c r="AQ23" i="49"/>
  <c r="AP23" i="49"/>
  <c r="AO23" i="49"/>
  <c r="AN23" i="49"/>
  <c r="AM23" i="49"/>
  <c r="AL23" i="49"/>
  <c r="AK23" i="49"/>
  <c r="AJ23" i="49"/>
  <c r="AI23" i="49"/>
  <c r="AH23" i="49"/>
  <c r="AG23" i="49"/>
  <c r="AF23" i="49"/>
  <c r="AE23" i="49"/>
  <c r="AD23" i="49"/>
  <c r="AC23" i="49"/>
  <c r="AB23" i="49"/>
  <c r="AA23" i="49"/>
  <c r="Z23" i="49"/>
  <c r="Y23" i="49"/>
  <c r="X23" i="49"/>
  <c r="W23" i="49"/>
  <c r="V23" i="49"/>
  <c r="U23" i="49"/>
  <c r="T23" i="49"/>
  <c r="S23" i="49"/>
  <c r="R23" i="49"/>
  <c r="Q23" i="49"/>
  <c r="P23" i="49"/>
  <c r="O23" i="49"/>
  <c r="N23" i="49"/>
  <c r="M23" i="49"/>
  <c r="L23" i="49"/>
  <c r="K23" i="49"/>
  <c r="J23" i="49"/>
  <c r="I23" i="49"/>
  <c r="H23" i="49"/>
  <c r="G23" i="49"/>
  <c r="F23" i="49"/>
  <c r="E23" i="49"/>
  <c r="D23" i="49"/>
  <c r="C23" i="49"/>
  <c r="B23" i="49"/>
  <c r="AV22" i="49"/>
  <c r="AU22" i="49"/>
  <c r="AT22" i="49"/>
  <c r="AS22" i="49"/>
  <c r="AR22" i="49"/>
  <c r="AQ22" i="49"/>
  <c r="AP22" i="49"/>
  <c r="AO22" i="49"/>
  <c r="AN22" i="49"/>
  <c r="AM22" i="49"/>
  <c r="AL22" i="49"/>
  <c r="AK22" i="49"/>
  <c r="AJ22" i="49"/>
  <c r="AI22" i="49"/>
  <c r="AH22" i="49"/>
  <c r="AG22" i="49"/>
  <c r="AF22" i="49"/>
  <c r="AE22" i="49"/>
  <c r="AD22" i="49"/>
  <c r="AC22" i="49"/>
  <c r="AB22" i="49"/>
  <c r="AA22" i="49"/>
  <c r="Z22" i="49"/>
  <c r="Y22" i="49"/>
  <c r="X22" i="49"/>
  <c r="W22" i="49"/>
  <c r="V22" i="49"/>
  <c r="U22" i="49"/>
  <c r="T22" i="49"/>
  <c r="S22" i="49"/>
  <c r="R22" i="49"/>
  <c r="Q22" i="49"/>
  <c r="P22" i="49"/>
  <c r="O22" i="49"/>
  <c r="N22" i="49"/>
  <c r="M22" i="49"/>
  <c r="L22" i="49"/>
  <c r="K22" i="49"/>
  <c r="J22" i="49"/>
  <c r="I22" i="49"/>
  <c r="H22" i="49"/>
  <c r="G22" i="49"/>
  <c r="F22" i="49"/>
  <c r="E22" i="49"/>
  <c r="D22" i="49"/>
  <c r="C22" i="49"/>
  <c r="B22" i="49"/>
  <c r="P19" i="49"/>
  <c r="P37" i="49" s="1"/>
  <c r="O19" i="49"/>
  <c r="O37" i="49" s="1"/>
  <c r="N19" i="49"/>
  <c r="N37" i="49" s="1"/>
  <c r="M19" i="49"/>
  <c r="M18" i="49" s="1"/>
  <c r="M36" i="49" s="1"/>
  <c r="L19" i="49"/>
  <c r="L37" i="49" s="1"/>
  <c r="K19" i="49"/>
  <c r="K37" i="49" s="1"/>
  <c r="J19" i="49"/>
  <c r="J37" i="49" s="1"/>
  <c r="I19" i="49"/>
  <c r="I18" i="49" s="1"/>
  <c r="I36" i="49" s="1"/>
  <c r="H19" i="49"/>
  <c r="H37" i="49" s="1"/>
  <c r="G19" i="49"/>
  <c r="G37" i="49" s="1"/>
  <c r="F19" i="49"/>
  <c r="F37" i="49" s="1"/>
  <c r="E19" i="49"/>
  <c r="E18" i="49" s="1"/>
  <c r="E36" i="49" s="1"/>
  <c r="D19" i="49"/>
  <c r="D37" i="49" s="1"/>
  <c r="C19" i="49"/>
  <c r="C37" i="49" s="1"/>
  <c r="B19" i="49"/>
  <c r="B37" i="49" s="1"/>
  <c r="O18" i="49"/>
  <c r="O36" i="49" s="1"/>
  <c r="N18" i="49"/>
  <c r="N36" i="49" s="1"/>
  <c r="K18" i="49"/>
  <c r="K36" i="49" s="1"/>
  <c r="J18" i="49"/>
  <c r="J36" i="49" s="1"/>
  <c r="G18" i="49"/>
  <c r="G36" i="49" s="1"/>
  <c r="F18" i="49"/>
  <c r="F36" i="49" s="1"/>
  <c r="AQ9" i="49"/>
  <c r="AQ27" i="49" s="1"/>
  <c r="AI9" i="49"/>
  <c r="AI27" i="49" s="1"/>
  <c r="AA9" i="49"/>
  <c r="AA27" i="49" s="1"/>
  <c r="S9" i="49"/>
  <c r="S27" i="49" s="1"/>
  <c r="K9" i="49"/>
  <c r="K27" i="49" s="1"/>
  <c r="C9" i="49"/>
  <c r="C27" i="49" s="1"/>
  <c r="AV8" i="49"/>
  <c r="AU8" i="49"/>
  <c r="AT8" i="49"/>
  <c r="AS8" i="49"/>
  <c r="AR8" i="49"/>
  <c r="AQ8" i="49"/>
  <c r="AP8" i="49"/>
  <c r="AO8" i="49"/>
  <c r="AN8" i="49"/>
  <c r="AM8" i="49"/>
  <c r="AL8" i="49"/>
  <c r="AK8" i="49"/>
  <c r="AJ8" i="49"/>
  <c r="AI8" i="49"/>
  <c r="AH8" i="49"/>
  <c r="AG8" i="49"/>
  <c r="AF8" i="49"/>
  <c r="AE8" i="49"/>
  <c r="AD8" i="49"/>
  <c r="AC8" i="49"/>
  <c r="AB8" i="49"/>
  <c r="AA8" i="49"/>
  <c r="Z8" i="49"/>
  <c r="Y8" i="49"/>
  <c r="X8" i="49"/>
  <c r="W8" i="49"/>
  <c r="V8" i="49"/>
  <c r="U8" i="49"/>
  <c r="T8" i="49"/>
  <c r="S8" i="49"/>
  <c r="R8" i="49"/>
  <c r="Q8" i="49"/>
  <c r="P8" i="49"/>
  <c r="O8" i="49"/>
  <c r="N8" i="49"/>
  <c r="M8" i="49"/>
  <c r="L8" i="49"/>
  <c r="K8" i="49"/>
  <c r="J8" i="49"/>
  <c r="I8" i="49"/>
  <c r="H8" i="49"/>
  <c r="G8" i="49"/>
  <c r="F8" i="49"/>
  <c r="E8" i="49"/>
  <c r="D8" i="49"/>
  <c r="C8" i="49"/>
  <c r="B8" i="49"/>
  <c r="AV7" i="49"/>
  <c r="AV9" i="49" s="1"/>
  <c r="AU7" i="49"/>
  <c r="AU9" i="49" s="1"/>
  <c r="AT7" i="49"/>
  <c r="AT9" i="49" s="1"/>
  <c r="AT10" i="49" s="1"/>
  <c r="AS7" i="49"/>
  <c r="AS9" i="49" s="1"/>
  <c r="AR7" i="49"/>
  <c r="AR9" i="49" s="1"/>
  <c r="AQ7" i="49"/>
  <c r="AP7" i="49"/>
  <c r="AP9" i="49" s="1"/>
  <c r="AP10" i="49" s="1"/>
  <c r="AO7" i="49"/>
  <c r="AN7" i="49"/>
  <c r="AN9" i="49" s="1"/>
  <c r="AM7" i="49"/>
  <c r="AM9" i="49" s="1"/>
  <c r="AL7" i="49"/>
  <c r="AL9" i="49" s="1"/>
  <c r="AL10" i="49" s="1"/>
  <c r="AK7" i="49"/>
  <c r="AK9" i="49" s="1"/>
  <c r="AJ7" i="49"/>
  <c r="AJ9" i="49" s="1"/>
  <c r="AI7" i="49"/>
  <c r="AH7" i="49"/>
  <c r="AH9" i="49" s="1"/>
  <c r="AH10" i="49" s="1"/>
  <c r="AG7" i="49"/>
  <c r="AG9" i="49" s="1"/>
  <c r="AF7" i="49"/>
  <c r="AF9" i="49" s="1"/>
  <c r="AE7" i="49"/>
  <c r="AE9" i="49" s="1"/>
  <c r="AD7" i="49"/>
  <c r="AD9" i="49" s="1"/>
  <c r="AD10" i="49" s="1"/>
  <c r="AC7" i="49"/>
  <c r="AC9" i="49" s="1"/>
  <c r="AB7" i="49"/>
  <c r="AB9" i="49" s="1"/>
  <c r="AA7" i="49"/>
  <c r="Z7" i="49"/>
  <c r="Z9" i="49" s="1"/>
  <c r="Z10" i="49" s="1"/>
  <c r="Y7" i="49"/>
  <c r="Y9" i="49" s="1"/>
  <c r="X7" i="49"/>
  <c r="X9" i="49" s="1"/>
  <c r="W7" i="49"/>
  <c r="W9" i="49" s="1"/>
  <c r="V7" i="49"/>
  <c r="V9" i="49" s="1"/>
  <c r="V10" i="49" s="1"/>
  <c r="U7" i="49"/>
  <c r="U9" i="49" s="1"/>
  <c r="T7" i="49"/>
  <c r="T9" i="49" s="1"/>
  <c r="S7" i="49"/>
  <c r="R7" i="49"/>
  <c r="R9" i="49" s="1"/>
  <c r="R10" i="49" s="1"/>
  <c r="Q7" i="49"/>
  <c r="Q9" i="49" s="1"/>
  <c r="P7" i="49"/>
  <c r="P9" i="49" s="1"/>
  <c r="O7" i="49"/>
  <c r="O9" i="49" s="1"/>
  <c r="N7" i="49"/>
  <c r="N9" i="49" s="1"/>
  <c r="N10" i="49" s="1"/>
  <c r="M7" i="49"/>
  <c r="M9" i="49" s="1"/>
  <c r="L7" i="49"/>
  <c r="L9" i="49" s="1"/>
  <c r="K7" i="49"/>
  <c r="J7" i="49"/>
  <c r="J9" i="49" s="1"/>
  <c r="J10" i="49" s="1"/>
  <c r="I7" i="49"/>
  <c r="I9" i="49" s="1"/>
  <c r="H7" i="49"/>
  <c r="H9" i="49" s="1"/>
  <c r="G7" i="49"/>
  <c r="G9" i="49" s="1"/>
  <c r="F7" i="49"/>
  <c r="F9" i="49" s="1"/>
  <c r="F10" i="49" s="1"/>
  <c r="E7" i="49"/>
  <c r="E9" i="49" s="1"/>
  <c r="D7" i="49"/>
  <c r="D9" i="49" s="1"/>
  <c r="C7" i="49"/>
  <c r="B7" i="49"/>
  <c r="B9" i="49" s="1"/>
  <c r="B10" i="49" s="1"/>
  <c r="AV6" i="49"/>
  <c r="AU6" i="49"/>
  <c r="AT6" i="49"/>
  <c r="AS6" i="49"/>
  <c r="AR6" i="49"/>
  <c r="AQ6" i="49"/>
  <c r="AP6" i="49"/>
  <c r="AO6" i="49"/>
  <c r="AN6" i="49"/>
  <c r="AM6" i="49"/>
  <c r="AL6" i="49"/>
  <c r="AK6" i="49"/>
  <c r="AJ6" i="49"/>
  <c r="AI6" i="49"/>
  <c r="AH6" i="49"/>
  <c r="AG6" i="49"/>
  <c r="AF6" i="49"/>
  <c r="AE6" i="49"/>
  <c r="AD6" i="49"/>
  <c r="AC6" i="49"/>
  <c r="AB6" i="49"/>
  <c r="AA6" i="49"/>
  <c r="Z6" i="49"/>
  <c r="Y6" i="49"/>
  <c r="X6" i="49"/>
  <c r="W6" i="49"/>
  <c r="V6" i="49"/>
  <c r="U6" i="49"/>
  <c r="T6" i="49"/>
  <c r="S6" i="49"/>
  <c r="R6" i="49"/>
  <c r="Q6" i="49"/>
  <c r="P6" i="49"/>
  <c r="O6" i="49"/>
  <c r="N6" i="49"/>
  <c r="M6" i="49"/>
  <c r="L6" i="49"/>
  <c r="K6" i="49"/>
  <c r="J6" i="49"/>
  <c r="I6" i="49"/>
  <c r="H6" i="49"/>
  <c r="G6" i="49"/>
  <c r="F6" i="49"/>
  <c r="E6" i="49"/>
  <c r="D6" i="49"/>
  <c r="C6" i="49"/>
  <c r="B6" i="49"/>
  <c r="G27" i="49" l="1"/>
  <c r="G10" i="49"/>
  <c r="O27" i="49"/>
  <c r="O10" i="49"/>
  <c r="W27" i="49"/>
  <c r="W10" i="49"/>
  <c r="AE27" i="49"/>
  <c r="AE10" i="49"/>
  <c r="AM27" i="49"/>
  <c r="AM10" i="49"/>
  <c r="AU27" i="49"/>
  <c r="AU10" i="49"/>
  <c r="K10" i="49"/>
  <c r="AA10" i="49"/>
  <c r="AQ10" i="49"/>
  <c r="E37" i="49"/>
  <c r="I37" i="49"/>
  <c r="C10" i="49"/>
  <c r="S10" i="49"/>
  <c r="AI10" i="49"/>
  <c r="M37" i="49"/>
  <c r="AO9" i="49"/>
  <c r="AO10" i="49" s="1"/>
  <c r="I10" i="49"/>
  <c r="I27" i="49"/>
  <c r="Q10" i="49"/>
  <c r="Q27" i="49"/>
  <c r="AC10" i="49"/>
  <c r="AC27" i="49"/>
  <c r="AO27" i="49"/>
  <c r="M10" i="49"/>
  <c r="M27" i="49"/>
  <c r="Y10" i="49"/>
  <c r="Y27" i="49"/>
  <c r="AK10" i="49"/>
  <c r="AK27" i="49"/>
  <c r="E10" i="49"/>
  <c r="E27" i="49"/>
  <c r="U10" i="49"/>
  <c r="U27" i="49"/>
  <c r="AG10" i="49"/>
  <c r="AG27" i="49"/>
  <c r="AS10" i="49"/>
  <c r="AS27" i="49"/>
  <c r="D10" i="49"/>
  <c r="D27" i="49"/>
  <c r="H27" i="49"/>
  <c r="H10" i="49"/>
  <c r="L27" i="49"/>
  <c r="L10" i="49"/>
  <c r="P27" i="49"/>
  <c r="P10" i="49"/>
  <c r="T10" i="49"/>
  <c r="T27" i="49"/>
  <c r="X10" i="49"/>
  <c r="X27" i="49"/>
  <c r="AB27" i="49"/>
  <c r="AB10" i="49"/>
  <c r="AF10" i="49"/>
  <c r="AF27" i="49"/>
  <c r="AJ27" i="49"/>
  <c r="AJ10" i="49"/>
  <c r="AN10" i="49"/>
  <c r="AN27" i="49"/>
  <c r="AR27" i="49"/>
  <c r="AR10" i="49"/>
  <c r="AV10" i="49"/>
  <c r="AV27" i="49"/>
  <c r="H18" i="49"/>
  <c r="H36" i="49" s="1"/>
  <c r="P18" i="49"/>
  <c r="P36" i="49" s="1"/>
  <c r="L18" i="49"/>
  <c r="L36" i="49" s="1"/>
  <c r="B27" i="49"/>
  <c r="F27" i="49"/>
  <c r="J27" i="49"/>
  <c r="N27" i="49"/>
  <c r="R27" i="49"/>
  <c r="V27" i="49"/>
  <c r="Z27" i="49"/>
  <c r="AD27" i="49"/>
  <c r="AH27" i="49"/>
  <c r="AL27" i="49"/>
  <c r="AP27" i="49"/>
  <c r="AT27" i="49"/>
  <c r="J62" i="6"/>
  <c r="I62" i="6"/>
  <c r="H62" i="6"/>
  <c r="G62" i="6"/>
  <c r="F62" i="6"/>
  <c r="E62" i="6"/>
  <c r="D62" i="6"/>
  <c r="C62" i="6"/>
  <c r="B62" i="6"/>
  <c r="J60" i="6"/>
  <c r="I60" i="6"/>
  <c r="H60" i="6"/>
  <c r="G60" i="6"/>
  <c r="F60" i="6"/>
  <c r="E60" i="6"/>
  <c r="D60" i="6"/>
  <c r="C60" i="6"/>
  <c r="B60" i="6"/>
  <c r="J58" i="6"/>
  <c r="I58" i="6"/>
  <c r="H58" i="6"/>
  <c r="G58" i="6"/>
  <c r="F58" i="6"/>
  <c r="E58" i="6"/>
  <c r="D58" i="6"/>
  <c r="C58" i="6"/>
  <c r="B58" i="6"/>
  <c r="J56" i="6"/>
  <c r="I56" i="6"/>
  <c r="H56" i="6"/>
  <c r="G56" i="6"/>
  <c r="F56" i="6"/>
  <c r="E56" i="6"/>
  <c r="D56" i="6"/>
  <c r="D63" i="6" s="1"/>
  <c r="C56" i="6"/>
  <c r="B56" i="6"/>
  <c r="J54" i="6"/>
  <c r="I54" i="6"/>
  <c r="H54" i="6"/>
  <c r="G54" i="6"/>
  <c r="F54" i="6"/>
  <c r="E54" i="6"/>
  <c r="D54" i="6"/>
  <c r="C54" i="6"/>
  <c r="B54" i="6"/>
  <c r="J52" i="6"/>
  <c r="I52" i="6"/>
  <c r="H52" i="6"/>
  <c r="G52" i="6"/>
  <c r="F52" i="6"/>
  <c r="E52" i="6"/>
  <c r="D52" i="6"/>
  <c r="C52" i="6"/>
  <c r="B52" i="6"/>
  <c r="J47" i="6"/>
  <c r="I47" i="6"/>
  <c r="H47" i="6"/>
  <c r="G47" i="6"/>
  <c r="F47" i="6"/>
  <c r="E47" i="6"/>
  <c r="D47" i="6"/>
  <c r="C47" i="6"/>
  <c r="B47" i="6"/>
  <c r="J38" i="6"/>
  <c r="I38" i="6"/>
  <c r="H38" i="6"/>
  <c r="E38" i="6"/>
  <c r="D38" i="6"/>
  <c r="G36" i="6"/>
  <c r="G38" i="6" s="1"/>
  <c r="F36" i="6"/>
  <c r="F38" i="6" s="1"/>
  <c r="C36" i="6"/>
  <c r="C38" i="6" s="1"/>
  <c r="B36" i="6"/>
  <c r="B38" i="6" s="1"/>
  <c r="J31" i="6"/>
  <c r="I31" i="6"/>
  <c r="H31" i="6"/>
  <c r="G31" i="6"/>
  <c r="F31" i="6"/>
  <c r="E31" i="6"/>
  <c r="D31" i="6"/>
  <c r="C31" i="6"/>
  <c r="B31" i="6"/>
  <c r="J17" i="6"/>
  <c r="I17" i="6"/>
  <c r="H17" i="6"/>
  <c r="E17" i="6"/>
  <c r="D17" i="6"/>
  <c r="G5" i="6"/>
  <c r="G17" i="6" s="1"/>
  <c r="F5" i="6"/>
  <c r="F17" i="6" s="1"/>
  <c r="C5" i="6"/>
  <c r="C17" i="6" s="1"/>
  <c r="B5" i="6"/>
  <c r="B17" i="6" s="1"/>
  <c r="J62" i="5"/>
  <c r="I62" i="5"/>
  <c r="H62" i="5"/>
  <c r="G62" i="5"/>
  <c r="F62" i="5"/>
  <c r="E62" i="5"/>
  <c r="D62" i="5"/>
  <c r="C62" i="5"/>
  <c r="B62" i="5"/>
  <c r="J60" i="5"/>
  <c r="I60" i="5"/>
  <c r="H60" i="5"/>
  <c r="G60" i="5"/>
  <c r="F60" i="5"/>
  <c r="E60" i="5"/>
  <c r="D60" i="5"/>
  <c r="C60" i="5"/>
  <c r="B60" i="5"/>
  <c r="J58" i="5"/>
  <c r="I58" i="5"/>
  <c r="H58" i="5"/>
  <c r="G58" i="5"/>
  <c r="F58" i="5"/>
  <c r="E58" i="5"/>
  <c r="D58" i="5"/>
  <c r="C58" i="5"/>
  <c r="B58" i="5"/>
  <c r="J56" i="5"/>
  <c r="I56" i="5"/>
  <c r="H56" i="5"/>
  <c r="G56" i="5"/>
  <c r="F56" i="5"/>
  <c r="E56" i="5"/>
  <c r="D56" i="5"/>
  <c r="C56" i="5"/>
  <c r="B56" i="5"/>
  <c r="J54" i="5"/>
  <c r="I54" i="5"/>
  <c r="H54" i="5"/>
  <c r="G54" i="5"/>
  <c r="F54" i="5"/>
  <c r="E54" i="5"/>
  <c r="D54" i="5"/>
  <c r="C54" i="5"/>
  <c r="B54" i="5"/>
  <c r="J52" i="5"/>
  <c r="I52" i="5"/>
  <c r="H52" i="5"/>
  <c r="G52" i="5"/>
  <c r="F52" i="5"/>
  <c r="E52" i="5"/>
  <c r="D52" i="5"/>
  <c r="C52" i="5"/>
  <c r="B52" i="5"/>
  <c r="J47" i="5"/>
  <c r="I47" i="5"/>
  <c r="H47" i="5"/>
  <c r="G47" i="5"/>
  <c r="F47" i="5"/>
  <c r="E47" i="5"/>
  <c r="D47" i="5"/>
  <c r="C47" i="5"/>
  <c r="B47" i="5"/>
  <c r="J38" i="5"/>
  <c r="I38" i="5"/>
  <c r="H38" i="5"/>
  <c r="G38" i="5"/>
  <c r="F38" i="5"/>
  <c r="E38" i="5"/>
  <c r="D38" i="5"/>
  <c r="C38" i="5"/>
  <c r="B38" i="5"/>
  <c r="J31" i="5"/>
  <c r="I31" i="5"/>
  <c r="H31" i="5"/>
  <c r="G31" i="5"/>
  <c r="F31" i="5"/>
  <c r="E31" i="5"/>
  <c r="D31" i="5"/>
  <c r="C31" i="5"/>
  <c r="B31" i="5"/>
  <c r="J17" i="5"/>
  <c r="I17" i="5"/>
  <c r="H17" i="5"/>
  <c r="G17" i="5"/>
  <c r="F17" i="5"/>
  <c r="E17" i="5"/>
  <c r="D17" i="5"/>
  <c r="C17" i="5"/>
  <c r="B17" i="5"/>
  <c r="J62" i="4"/>
  <c r="I62" i="4"/>
  <c r="H62" i="4"/>
  <c r="G62" i="4"/>
  <c r="F62" i="4"/>
  <c r="E62" i="4"/>
  <c r="D62" i="4"/>
  <c r="C62" i="4"/>
  <c r="B62" i="4"/>
  <c r="J60" i="4"/>
  <c r="I60" i="4"/>
  <c r="H60" i="4"/>
  <c r="G60" i="4"/>
  <c r="F60" i="4"/>
  <c r="E60" i="4"/>
  <c r="D60" i="4"/>
  <c r="C60" i="4"/>
  <c r="B60" i="4"/>
  <c r="J58" i="4"/>
  <c r="I58" i="4"/>
  <c r="H58" i="4"/>
  <c r="G58" i="4"/>
  <c r="F58" i="4"/>
  <c r="E58" i="4"/>
  <c r="D58" i="4"/>
  <c r="C58" i="4"/>
  <c r="B58" i="4"/>
  <c r="J56" i="4"/>
  <c r="I56" i="4"/>
  <c r="H56" i="4"/>
  <c r="G56" i="4"/>
  <c r="F56" i="4"/>
  <c r="E56" i="4"/>
  <c r="D56" i="4"/>
  <c r="C56" i="4"/>
  <c r="B56" i="4"/>
  <c r="J54" i="4"/>
  <c r="I54" i="4"/>
  <c r="H54" i="4"/>
  <c r="G54" i="4"/>
  <c r="F54" i="4"/>
  <c r="E54" i="4"/>
  <c r="D54" i="4"/>
  <c r="C54" i="4"/>
  <c r="B54" i="4"/>
  <c r="J52" i="4"/>
  <c r="I52" i="4"/>
  <c r="H52" i="4"/>
  <c r="G52" i="4"/>
  <c r="F52" i="4"/>
  <c r="E52" i="4"/>
  <c r="D52" i="4"/>
  <c r="C52" i="4"/>
  <c r="B52" i="4"/>
  <c r="J47" i="4"/>
  <c r="I47" i="4"/>
  <c r="H47" i="4"/>
  <c r="G47" i="4"/>
  <c r="F47" i="4"/>
  <c r="E47" i="4"/>
  <c r="D47" i="4"/>
  <c r="C47" i="4"/>
  <c r="B47" i="4"/>
  <c r="J38" i="4"/>
  <c r="I38" i="4"/>
  <c r="H38" i="4"/>
  <c r="G38" i="4"/>
  <c r="F38" i="4"/>
  <c r="E38" i="4"/>
  <c r="D38" i="4"/>
  <c r="C38" i="4"/>
  <c r="B38" i="4"/>
  <c r="J31" i="4"/>
  <c r="I31" i="4"/>
  <c r="H31" i="4"/>
  <c r="G31" i="4"/>
  <c r="F31" i="4"/>
  <c r="E31" i="4"/>
  <c r="D31" i="4"/>
  <c r="C31" i="4"/>
  <c r="B31" i="4"/>
  <c r="J17" i="4"/>
  <c r="I17" i="4"/>
  <c r="H17" i="4"/>
  <c r="G17" i="4"/>
  <c r="F17" i="4"/>
  <c r="E17" i="4"/>
  <c r="D17" i="4"/>
  <c r="C17" i="4"/>
  <c r="B17" i="4"/>
  <c r="J62" i="3"/>
  <c r="I62" i="3"/>
  <c r="H62" i="3"/>
  <c r="G62" i="3"/>
  <c r="F62" i="3"/>
  <c r="E62" i="3"/>
  <c r="D62" i="3"/>
  <c r="C62" i="3"/>
  <c r="B62" i="3"/>
  <c r="J60" i="3"/>
  <c r="I60" i="3"/>
  <c r="H60" i="3"/>
  <c r="G60" i="3"/>
  <c r="F60" i="3"/>
  <c r="E60" i="3"/>
  <c r="D60" i="3"/>
  <c r="C60" i="3"/>
  <c r="B60" i="3"/>
  <c r="J58" i="3"/>
  <c r="I58" i="3"/>
  <c r="H58" i="3"/>
  <c r="G58" i="3"/>
  <c r="F58" i="3"/>
  <c r="E58" i="3"/>
  <c r="D58" i="3"/>
  <c r="C58" i="3"/>
  <c r="B58" i="3"/>
  <c r="J56" i="3"/>
  <c r="I56" i="3"/>
  <c r="H56" i="3"/>
  <c r="G56" i="3"/>
  <c r="F56" i="3"/>
  <c r="E56" i="3"/>
  <c r="D56" i="3"/>
  <c r="C56" i="3"/>
  <c r="B56" i="3"/>
  <c r="J54" i="3"/>
  <c r="I54" i="3"/>
  <c r="H54" i="3"/>
  <c r="G54" i="3"/>
  <c r="F54" i="3"/>
  <c r="E54" i="3"/>
  <c r="D54" i="3"/>
  <c r="C54" i="3"/>
  <c r="B54" i="3"/>
  <c r="J52" i="3"/>
  <c r="I52" i="3"/>
  <c r="H52" i="3"/>
  <c r="G52" i="3"/>
  <c r="F52" i="3"/>
  <c r="E52" i="3"/>
  <c r="D52" i="3"/>
  <c r="C52" i="3"/>
  <c r="B52" i="3"/>
  <c r="J47" i="3"/>
  <c r="I47" i="3"/>
  <c r="H47" i="3"/>
  <c r="G47" i="3"/>
  <c r="F47" i="3"/>
  <c r="E47" i="3"/>
  <c r="D47" i="3"/>
  <c r="C47" i="3"/>
  <c r="B47" i="3"/>
  <c r="J38" i="3"/>
  <c r="I38" i="3"/>
  <c r="H38" i="3"/>
  <c r="G38" i="3"/>
  <c r="F38" i="3"/>
  <c r="E38" i="3"/>
  <c r="D38" i="3"/>
  <c r="C38" i="3"/>
  <c r="B38" i="3"/>
  <c r="J31" i="3"/>
  <c r="I31" i="3"/>
  <c r="H31" i="3"/>
  <c r="G31" i="3"/>
  <c r="F31" i="3"/>
  <c r="E31" i="3"/>
  <c r="D31" i="3"/>
  <c r="C31" i="3"/>
  <c r="B31" i="3"/>
  <c r="J17" i="3"/>
  <c r="I17" i="3"/>
  <c r="H17" i="3"/>
  <c r="G17" i="3"/>
  <c r="F17" i="3"/>
  <c r="E17" i="3"/>
  <c r="D17" i="3"/>
  <c r="C17" i="3"/>
  <c r="B17" i="3"/>
  <c r="G63" i="3" l="1"/>
  <c r="I63" i="4"/>
  <c r="H63" i="6"/>
  <c r="E63" i="3"/>
  <c r="I63" i="3"/>
  <c r="C63" i="4"/>
  <c r="G63" i="4"/>
  <c r="E63" i="5"/>
  <c r="I63" i="5"/>
  <c r="B63" i="6"/>
  <c r="F63" i="6"/>
  <c r="G63" i="5"/>
  <c r="B63" i="3"/>
  <c r="F63" i="3"/>
  <c r="D63" i="4"/>
  <c r="H63" i="4"/>
  <c r="B63" i="5"/>
  <c r="F63" i="5"/>
  <c r="C63" i="3"/>
  <c r="E63" i="4"/>
  <c r="C63" i="5"/>
  <c r="D63" i="3"/>
  <c r="H63" i="3"/>
  <c r="B63" i="4"/>
  <c r="F63" i="4"/>
  <c r="D63" i="5"/>
  <c r="H63" i="5"/>
  <c r="E63" i="6"/>
  <c r="I63" i="6"/>
  <c r="G63" i="6"/>
  <c r="C63" i="6"/>
  <c r="J63" i="4"/>
  <c r="AV37" i="1"/>
  <c r="AV36" i="1"/>
  <c r="AV35" i="1"/>
  <c r="AV34" i="1"/>
  <c r="AV31" i="1"/>
  <c r="AV23" i="1"/>
  <c r="AV22" i="1"/>
  <c r="AV8" i="1"/>
  <c r="AV7" i="1"/>
  <c r="AV6" i="1"/>
  <c r="PH62" i="2"/>
  <c r="PG62" i="2"/>
  <c r="PF62" i="2"/>
  <c r="PE62" i="2"/>
  <c r="PD62" i="2"/>
  <c r="PC62" i="2"/>
  <c r="PB62" i="2"/>
  <c r="PA62" i="2"/>
  <c r="OZ62" i="2"/>
  <c r="PH60" i="2"/>
  <c r="PG60" i="2"/>
  <c r="PF60" i="2"/>
  <c r="PE60" i="2"/>
  <c r="PD60" i="2"/>
  <c r="PC60" i="2"/>
  <c r="PB60" i="2"/>
  <c r="PA60" i="2"/>
  <c r="OZ60" i="2"/>
  <c r="PH58" i="2"/>
  <c r="PG58" i="2"/>
  <c r="PF58" i="2"/>
  <c r="PE58" i="2"/>
  <c r="PD58" i="2"/>
  <c r="PC58" i="2"/>
  <c r="PB58" i="2"/>
  <c r="PA58" i="2"/>
  <c r="OZ58" i="2"/>
  <c r="PH56" i="2"/>
  <c r="PG56" i="2"/>
  <c r="PF56" i="2"/>
  <c r="PE56" i="2"/>
  <c r="PD56" i="2"/>
  <c r="PC56" i="2"/>
  <c r="PB56" i="2"/>
  <c r="PA56" i="2"/>
  <c r="OZ56" i="2"/>
  <c r="PH54" i="2"/>
  <c r="PG54" i="2"/>
  <c r="PF54" i="2"/>
  <c r="PE54" i="2"/>
  <c r="PD54" i="2"/>
  <c r="PC54" i="2"/>
  <c r="PB54" i="2"/>
  <c r="PA54" i="2"/>
  <c r="OZ54" i="2"/>
  <c r="PH52" i="2"/>
  <c r="PG52" i="2"/>
  <c r="PF52" i="2"/>
  <c r="PE52" i="2"/>
  <c r="PD52" i="2"/>
  <c r="PC52" i="2"/>
  <c r="PB52" i="2"/>
  <c r="PA52" i="2"/>
  <c r="OZ52" i="2"/>
  <c r="PH47" i="2"/>
  <c r="PG47" i="2"/>
  <c r="PF47" i="2"/>
  <c r="PE47" i="2"/>
  <c r="PD47" i="2"/>
  <c r="PC47" i="2"/>
  <c r="PB47" i="2"/>
  <c r="PA47" i="2"/>
  <c r="OZ47" i="2"/>
  <c r="PH38" i="2"/>
  <c r="PG38" i="2"/>
  <c r="PF38" i="2"/>
  <c r="PE38" i="2"/>
  <c r="PD38" i="2"/>
  <c r="PC38" i="2"/>
  <c r="PB38" i="2"/>
  <c r="PA38" i="2"/>
  <c r="OZ38" i="2"/>
  <c r="PH31" i="2"/>
  <c r="PG31" i="2"/>
  <c r="PF31" i="2"/>
  <c r="PE31" i="2"/>
  <c r="PD31" i="2"/>
  <c r="PC31" i="2"/>
  <c r="PB31" i="2"/>
  <c r="PA31" i="2"/>
  <c r="OZ31" i="2"/>
  <c r="PH17" i="2"/>
  <c r="PG17" i="2"/>
  <c r="PF17" i="2"/>
  <c r="PE17" i="2"/>
  <c r="PD17" i="2"/>
  <c r="PC17" i="2"/>
  <c r="PB17" i="2"/>
  <c r="PA17" i="2"/>
  <c r="OZ17" i="2"/>
  <c r="AU37" i="1"/>
  <c r="AU36" i="1"/>
  <c r="AU35" i="1"/>
  <c r="AU34" i="1"/>
  <c r="AU31" i="1"/>
  <c r="AU23" i="1"/>
  <c r="AU22" i="1"/>
  <c r="AU8" i="1"/>
  <c r="AU7" i="1"/>
  <c r="AU6" i="1"/>
  <c r="OY62" i="2"/>
  <c r="OX62" i="2"/>
  <c r="OW62" i="2"/>
  <c r="OV62" i="2"/>
  <c r="OU62" i="2"/>
  <c r="OT62" i="2"/>
  <c r="OS62" i="2"/>
  <c r="OR62" i="2"/>
  <c r="OQ62" i="2"/>
  <c r="OY60" i="2"/>
  <c r="OX60" i="2"/>
  <c r="OW60" i="2"/>
  <c r="OV60" i="2"/>
  <c r="OU60" i="2"/>
  <c r="OT60" i="2"/>
  <c r="OS60" i="2"/>
  <c r="OR60" i="2"/>
  <c r="OQ60" i="2"/>
  <c r="OY58" i="2"/>
  <c r="OX58" i="2"/>
  <c r="OW58" i="2"/>
  <c r="OV58" i="2"/>
  <c r="OU58" i="2"/>
  <c r="OT58" i="2"/>
  <c r="OS58" i="2"/>
  <c r="OR58" i="2"/>
  <c r="OQ58" i="2"/>
  <c r="OY56" i="2"/>
  <c r="OX56" i="2"/>
  <c r="OW56" i="2"/>
  <c r="OV56" i="2"/>
  <c r="OU56" i="2"/>
  <c r="OT56" i="2"/>
  <c r="OS56" i="2"/>
  <c r="OR56" i="2"/>
  <c r="OQ56" i="2"/>
  <c r="OY54" i="2"/>
  <c r="OX54" i="2"/>
  <c r="OW54" i="2"/>
  <c r="OV54" i="2"/>
  <c r="OU54" i="2"/>
  <c r="OT54" i="2"/>
  <c r="OS54" i="2"/>
  <c r="OR54" i="2"/>
  <c r="OQ54" i="2"/>
  <c r="OY52" i="2"/>
  <c r="OX52" i="2"/>
  <c r="OW52" i="2"/>
  <c r="OV52" i="2"/>
  <c r="OU52" i="2"/>
  <c r="OT52" i="2"/>
  <c r="OS52" i="2"/>
  <c r="OR52" i="2"/>
  <c r="OQ52" i="2"/>
  <c r="OY47" i="2"/>
  <c r="OX47" i="2"/>
  <c r="OW47" i="2"/>
  <c r="OV47" i="2"/>
  <c r="OU47" i="2"/>
  <c r="OT47" i="2"/>
  <c r="OS47" i="2"/>
  <c r="OR47" i="2"/>
  <c r="OQ47" i="2"/>
  <c r="OY38" i="2"/>
  <c r="OX38" i="2"/>
  <c r="OW38" i="2"/>
  <c r="OV38" i="2"/>
  <c r="OU38" i="2"/>
  <c r="OT38" i="2"/>
  <c r="OS38" i="2"/>
  <c r="OR38" i="2"/>
  <c r="OQ38" i="2"/>
  <c r="OY31" i="2"/>
  <c r="OX31" i="2"/>
  <c r="OW31" i="2"/>
  <c r="OV31" i="2"/>
  <c r="OU31" i="2"/>
  <c r="OT31" i="2"/>
  <c r="OS31" i="2"/>
  <c r="OR31" i="2"/>
  <c r="OQ31" i="2"/>
  <c r="OY17" i="2"/>
  <c r="OX17" i="2"/>
  <c r="OW17" i="2"/>
  <c r="OV17" i="2"/>
  <c r="OU17" i="2"/>
  <c r="OT17" i="2"/>
  <c r="OS17" i="2"/>
  <c r="OR17" i="2"/>
  <c r="OQ17" i="2"/>
  <c r="AT37" i="1"/>
  <c r="AT36" i="1"/>
  <c r="AT35" i="1"/>
  <c r="AT34" i="1"/>
  <c r="AT31" i="1"/>
  <c r="AT23" i="1"/>
  <c r="AT22" i="1"/>
  <c r="AT8" i="1"/>
  <c r="AT7" i="1"/>
  <c r="AT6" i="1"/>
  <c r="OP62" i="2"/>
  <c r="OO62" i="2"/>
  <c r="ON62" i="2"/>
  <c r="OM62" i="2"/>
  <c r="OL62" i="2"/>
  <c r="OK62" i="2"/>
  <c r="OJ62" i="2"/>
  <c r="OI62" i="2"/>
  <c r="OH62" i="2"/>
  <c r="OP60" i="2"/>
  <c r="OO60" i="2"/>
  <c r="ON60" i="2"/>
  <c r="OM60" i="2"/>
  <c r="OL60" i="2"/>
  <c r="OK60" i="2"/>
  <c r="OJ60" i="2"/>
  <c r="OI60" i="2"/>
  <c r="OH60" i="2"/>
  <c r="OP58" i="2"/>
  <c r="OO58" i="2"/>
  <c r="ON58" i="2"/>
  <c r="OM58" i="2"/>
  <c r="OL58" i="2"/>
  <c r="OK58" i="2"/>
  <c r="OJ58" i="2"/>
  <c r="OI58" i="2"/>
  <c r="OH58" i="2"/>
  <c r="OP56" i="2"/>
  <c r="OO56" i="2"/>
  <c r="ON56" i="2"/>
  <c r="OM56" i="2"/>
  <c r="OL56" i="2"/>
  <c r="OK56" i="2"/>
  <c r="OJ56" i="2"/>
  <c r="OI56" i="2"/>
  <c r="OH56" i="2"/>
  <c r="OP54" i="2"/>
  <c r="OO54" i="2"/>
  <c r="ON54" i="2"/>
  <c r="OM54" i="2"/>
  <c r="OL54" i="2"/>
  <c r="OK54" i="2"/>
  <c r="OJ54" i="2"/>
  <c r="OI54" i="2"/>
  <c r="OH54" i="2"/>
  <c r="OP52" i="2"/>
  <c r="OO52" i="2"/>
  <c r="ON52" i="2"/>
  <c r="OM52" i="2"/>
  <c r="OL52" i="2"/>
  <c r="OK52" i="2"/>
  <c r="OJ52" i="2"/>
  <c r="OI52" i="2"/>
  <c r="OH52" i="2"/>
  <c r="OP47" i="2"/>
  <c r="OO47" i="2"/>
  <c r="ON47" i="2"/>
  <c r="OM47" i="2"/>
  <c r="OL47" i="2"/>
  <c r="OK47" i="2"/>
  <c r="OJ47" i="2"/>
  <c r="OI47" i="2"/>
  <c r="OH47" i="2"/>
  <c r="OP38" i="2"/>
  <c r="OO38" i="2"/>
  <c r="ON38" i="2"/>
  <c r="OM38" i="2"/>
  <c r="OL38" i="2"/>
  <c r="OK38" i="2"/>
  <c r="OJ38" i="2"/>
  <c r="OI38" i="2"/>
  <c r="OH38" i="2"/>
  <c r="OP31" i="2"/>
  <c r="OO31" i="2"/>
  <c r="ON31" i="2"/>
  <c r="OM31" i="2"/>
  <c r="OL31" i="2"/>
  <c r="OK31" i="2"/>
  <c r="OJ31" i="2"/>
  <c r="OI31" i="2"/>
  <c r="OH31" i="2"/>
  <c r="OP17" i="2"/>
  <c r="OO17" i="2"/>
  <c r="ON17" i="2"/>
  <c r="OM17" i="2"/>
  <c r="OL17" i="2"/>
  <c r="OK17" i="2"/>
  <c r="OJ17" i="2"/>
  <c r="OI17" i="2"/>
  <c r="OH17" i="2"/>
  <c r="AS37" i="1"/>
  <c r="AS36" i="1"/>
  <c r="AS35" i="1"/>
  <c r="AS34" i="1"/>
  <c r="AS31" i="1"/>
  <c r="AS23" i="1"/>
  <c r="AS22" i="1"/>
  <c r="AS8" i="1"/>
  <c r="AS7" i="1"/>
  <c r="AS6" i="1"/>
  <c r="OG62" i="2"/>
  <c r="OF62" i="2"/>
  <c r="OE62" i="2"/>
  <c r="OD62" i="2"/>
  <c r="OC62" i="2"/>
  <c r="OB62" i="2"/>
  <c r="OA62" i="2"/>
  <c r="NZ62" i="2"/>
  <c r="NY62" i="2"/>
  <c r="OG60" i="2"/>
  <c r="OF60" i="2"/>
  <c r="OE60" i="2"/>
  <c r="OD60" i="2"/>
  <c r="OC60" i="2"/>
  <c r="OB60" i="2"/>
  <c r="OA60" i="2"/>
  <c r="NZ60" i="2"/>
  <c r="NY60" i="2"/>
  <c r="OG58" i="2"/>
  <c r="OF58" i="2"/>
  <c r="OE58" i="2"/>
  <c r="OD58" i="2"/>
  <c r="OC58" i="2"/>
  <c r="OB58" i="2"/>
  <c r="OA58" i="2"/>
  <c r="NZ58" i="2"/>
  <c r="NY58" i="2"/>
  <c r="OG56" i="2"/>
  <c r="OF56" i="2"/>
  <c r="OE56" i="2"/>
  <c r="OD56" i="2"/>
  <c r="OC56" i="2"/>
  <c r="OB56" i="2"/>
  <c r="OA56" i="2"/>
  <c r="NZ56" i="2"/>
  <c r="NY56" i="2"/>
  <c r="OG54" i="2"/>
  <c r="OF54" i="2"/>
  <c r="OE54" i="2"/>
  <c r="OD54" i="2"/>
  <c r="OC54" i="2"/>
  <c r="OB54" i="2"/>
  <c r="OA54" i="2"/>
  <c r="NZ54" i="2"/>
  <c r="NY54" i="2"/>
  <c r="OG52" i="2"/>
  <c r="OF52" i="2"/>
  <c r="OE52" i="2"/>
  <c r="OD52" i="2"/>
  <c r="OC52" i="2"/>
  <c r="OB52" i="2"/>
  <c r="OA52" i="2"/>
  <c r="NZ52" i="2"/>
  <c r="NY52" i="2"/>
  <c r="OG47" i="2"/>
  <c r="OF47" i="2"/>
  <c r="OE47" i="2"/>
  <c r="OD47" i="2"/>
  <c r="OC47" i="2"/>
  <c r="OB47" i="2"/>
  <c r="OA47" i="2"/>
  <c r="NZ47" i="2"/>
  <c r="NY47" i="2"/>
  <c r="OG38" i="2"/>
  <c r="OF38" i="2"/>
  <c r="OE38" i="2"/>
  <c r="OD38" i="2"/>
  <c r="OC38" i="2"/>
  <c r="OB38" i="2"/>
  <c r="OA38" i="2"/>
  <c r="NZ38" i="2"/>
  <c r="NY38" i="2"/>
  <c r="OG31" i="2"/>
  <c r="OF31" i="2"/>
  <c r="OE31" i="2"/>
  <c r="OD31" i="2"/>
  <c r="OC31" i="2"/>
  <c r="OB31" i="2"/>
  <c r="OA31" i="2"/>
  <c r="NZ31" i="2"/>
  <c r="NY31" i="2"/>
  <c r="OG17" i="2"/>
  <c r="OF17" i="2"/>
  <c r="OE17" i="2"/>
  <c r="OD17" i="2"/>
  <c r="OC17" i="2"/>
  <c r="OB17" i="2"/>
  <c r="OA17" i="2"/>
  <c r="NZ17" i="2"/>
  <c r="NY17" i="2"/>
  <c r="NX62" i="2"/>
  <c r="NW62" i="2"/>
  <c r="NV62" i="2"/>
  <c r="NU62" i="2"/>
  <c r="NT62" i="2"/>
  <c r="NS62" i="2"/>
  <c r="NR62" i="2"/>
  <c r="NQ62" i="2"/>
  <c r="NP62" i="2"/>
  <c r="NX60" i="2"/>
  <c r="NW60" i="2"/>
  <c r="NV60" i="2"/>
  <c r="NU60" i="2"/>
  <c r="NT60" i="2"/>
  <c r="NS60" i="2"/>
  <c r="NR60" i="2"/>
  <c r="NQ60" i="2"/>
  <c r="NP60" i="2"/>
  <c r="NX58" i="2"/>
  <c r="NW58" i="2"/>
  <c r="NV58" i="2"/>
  <c r="NU58" i="2"/>
  <c r="NT58" i="2"/>
  <c r="NS58" i="2"/>
  <c r="NR58" i="2"/>
  <c r="NQ58" i="2"/>
  <c r="NP58" i="2"/>
  <c r="NX56" i="2"/>
  <c r="NW56" i="2"/>
  <c r="NV56" i="2"/>
  <c r="NU56" i="2"/>
  <c r="NT56" i="2"/>
  <c r="NS56" i="2"/>
  <c r="NR56" i="2"/>
  <c r="NQ56" i="2"/>
  <c r="NP56" i="2"/>
  <c r="NX54" i="2"/>
  <c r="NW54" i="2"/>
  <c r="NV54" i="2"/>
  <c r="NU54" i="2"/>
  <c r="NT54" i="2"/>
  <c r="NS54" i="2"/>
  <c r="NR54" i="2"/>
  <c r="NQ54" i="2"/>
  <c r="NP54" i="2"/>
  <c r="NX52" i="2"/>
  <c r="NW52" i="2"/>
  <c r="NV52" i="2"/>
  <c r="NU52" i="2"/>
  <c r="NT52" i="2"/>
  <c r="NS52" i="2"/>
  <c r="NR52" i="2"/>
  <c r="NQ52" i="2"/>
  <c r="NP52" i="2"/>
  <c r="NX47" i="2"/>
  <c r="NW47" i="2"/>
  <c r="NV47" i="2"/>
  <c r="NU47" i="2"/>
  <c r="NT47" i="2"/>
  <c r="NS47" i="2"/>
  <c r="NR47" i="2"/>
  <c r="NQ47" i="2"/>
  <c r="NP47" i="2"/>
  <c r="NX38" i="2"/>
  <c r="NW38" i="2"/>
  <c r="NV38" i="2"/>
  <c r="NU38" i="2"/>
  <c r="NT38" i="2"/>
  <c r="NS38" i="2"/>
  <c r="NR38" i="2"/>
  <c r="NQ38" i="2"/>
  <c r="NP38" i="2"/>
  <c r="NX31" i="2"/>
  <c r="NW31" i="2"/>
  <c r="NV31" i="2"/>
  <c r="NU31" i="2"/>
  <c r="NT31" i="2"/>
  <c r="NS31" i="2"/>
  <c r="NR31" i="2"/>
  <c r="NQ31" i="2"/>
  <c r="NP31" i="2"/>
  <c r="NX17" i="2"/>
  <c r="NW17" i="2"/>
  <c r="NV17" i="2"/>
  <c r="NU17" i="2"/>
  <c r="NT17" i="2"/>
  <c r="NS17" i="2"/>
  <c r="NR17" i="2"/>
  <c r="NQ17" i="2"/>
  <c r="NP17" i="2"/>
  <c r="AR37" i="1"/>
  <c r="AR36" i="1"/>
  <c r="AR35" i="1"/>
  <c r="AR34" i="1"/>
  <c r="AR31" i="1"/>
  <c r="AR23" i="1"/>
  <c r="AR22" i="1"/>
  <c r="AR8" i="1"/>
  <c r="AR7" i="1"/>
  <c r="AR6" i="1"/>
  <c r="AQ37" i="1"/>
  <c r="AQ36" i="1"/>
  <c r="AQ35" i="1"/>
  <c r="AQ34" i="1"/>
  <c r="AQ31" i="1"/>
  <c r="AQ23" i="1"/>
  <c r="AQ22" i="1"/>
  <c r="AQ8" i="1"/>
  <c r="AQ7" i="1"/>
  <c r="AQ6" i="1"/>
  <c r="NO62" i="2"/>
  <c r="NN62" i="2"/>
  <c r="NM62" i="2"/>
  <c r="NL62" i="2"/>
  <c r="NK62" i="2"/>
  <c r="NJ62" i="2"/>
  <c r="NI62" i="2"/>
  <c r="NH62" i="2"/>
  <c r="NG62" i="2"/>
  <c r="NO60" i="2"/>
  <c r="NN60" i="2"/>
  <c r="NM60" i="2"/>
  <c r="NL60" i="2"/>
  <c r="NK60" i="2"/>
  <c r="NJ60" i="2"/>
  <c r="NI60" i="2"/>
  <c r="NH60" i="2"/>
  <c r="NG60" i="2"/>
  <c r="NO58" i="2"/>
  <c r="NN58" i="2"/>
  <c r="NM58" i="2"/>
  <c r="NL58" i="2"/>
  <c r="NK58" i="2"/>
  <c r="NJ58" i="2"/>
  <c r="NI58" i="2"/>
  <c r="NH58" i="2"/>
  <c r="NG58" i="2"/>
  <c r="NO56" i="2"/>
  <c r="NN56" i="2"/>
  <c r="NM56" i="2"/>
  <c r="NL56" i="2"/>
  <c r="NK56" i="2"/>
  <c r="NJ56" i="2"/>
  <c r="NI56" i="2"/>
  <c r="NH56" i="2"/>
  <c r="NG56" i="2"/>
  <c r="NO54" i="2"/>
  <c r="NN54" i="2"/>
  <c r="NM54" i="2"/>
  <c r="NL54" i="2"/>
  <c r="NK54" i="2"/>
  <c r="NJ54" i="2"/>
  <c r="NI54" i="2"/>
  <c r="NH54" i="2"/>
  <c r="NG54" i="2"/>
  <c r="NO52" i="2"/>
  <c r="NN52" i="2"/>
  <c r="NM52" i="2"/>
  <c r="NL52" i="2"/>
  <c r="NK52" i="2"/>
  <c r="NJ52" i="2"/>
  <c r="NI52" i="2"/>
  <c r="NH52" i="2"/>
  <c r="NG52" i="2"/>
  <c r="NO47" i="2"/>
  <c r="NN47" i="2"/>
  <c r="NM47" i="2"/>
  <c r="NL47" i="2"/>
  <c r="NK47" i="2"/>
  <c r="NJ47" i="2"/>
  <c r="NI47" i="2"/>
  <c r="NH47" i="2"/>
  <c r="NG47" i="2"/>
  <c r="NO38" i="2"/>
  <c r="NN38" i="2"/>
  <c r="NM38" i="2"/>
  <c r="NL38" i="2"/>
  <c r="NK38" i="2"/>
  <c r="NJ38" i="2"/>
  <c r="NI38" i="2"/>
  <c r="NH38" i="2"/>
  <c r="NG38" i="2"/>
  <c r="NO31" i="2"/>
  <c r="NN31" i="2"/>
  <c r="NM31" i="2"/>
  <c r="NL31" i="2"/>
  <c r="NK31" i="2"/>
  <c r="NJ31" i="2"/>
  <c r="NI31" i="2"/>
  <c r="NH31" i="2"/>
  <c r="NG31" i="2"/>
  <c r="NO17" i="2"/>
  <c r="NN17" i="2"/>
  <c r="NM17" i="2"/>
  <c r="NL17" i="2"/>
  <c r="NK17" i="2"/>
  <c r="NJ17" i="2"/>
  <c r="NI17" i="2"/>
  <c r="NH17" i="2"/>
  <c r="NG17" i="2"/>
  <c r="AP37" i="1"/>
  <c r="AP36" i="1"/>
  <c r="AP35" i="1"/>
  <c r="AP34" i="1"/>
  <c r="AP31" i="1"/>
  <c r="AP23" i="1"/>
  <c r="AP22" i="1"/>
  <c r="AP8" i="1"/>
  <c r="AP7" i="1"/>
  <c r="AP6" i="1"/>
  <c r="NF62" i="2"/>
  <c r="NE62" i="2"/>
  <c r="ND62" i="2"/>
  <c r="NC62" i="2"/>
  <c r="NB62" i="2"/>
  <c r="NA62" i="2"/>
  <c r="MZ62" i="2"/>
  <c r="MY62" i="2"/>
  <c r="MX62" i="2"/>
  <c r="NF60" i="2"/>
  <c r="NE60" i="2"/>
  <c r="ND60" i="2"/>
  <c r="NC60" i="2"/>
  <c r="NB60" i="2"/>
  <c r="NA60" i="2"/>
  <c r="MZ60" i="2"/>
  <c r="MY60" i="2"/>
  <c r="MX60" i="2"/>
  <c r="NF58" i="2"/>
  <c r="NE58" i="2"/>
  <c r="ND58" i="2"/>
  <c r="NC58" i="2"/>
  <c r="NB58" i="2"/>
  <c r="NA58" i="2"/>
  <c r="MZ58" i="2"/>
  <c r="MY58" i="2"/>
  <c r="MX58" i="2"/>
  <c r="NF56" i="2"/>
  <c r="NE56" i="2"/>
  <c r="ND56" i="2"/>
  <c r="NC56" i="2"/>
  <c r="NB56" i="2"/>
  <c r="NA56" i="2"/>
  <c r="MZ56" i="2"/>
  <c r="MY56" i="2"/>
  <c r="MX56" i="2"/>
  <c r="NF54" i="2"/>
  <c r="NE54" i="2"/>
  <c r="ND54" i="2"/>
  <c r="NC54" i="2"/>
  <c r="NB54" i="2"/>
  <c r="NA54" i="2"/>
  <c r="MZ54" i="2"/>
  <c r="MY54" i="2"/>
  <c r="MX54" i="2"/>
  <c r="NF52" i="2"/>
  <c r="NE52" i="2"/>
  <c r="ND52" i="2"/>
  <c r="NC52" i="2"/>
  <c r="NB52" i="2"/>
  <c r="NA52" i="2"/>
  <c r="MZ52" i="2"/>
  <c r="MY52" i="2"/>
  <c r="MX52" i="2"/>
  <c r="NF47" i="2"/>
  <c r="NE47" i="2"/>
  <c r="ND47" i="2"/>
  <c r="NC47" i="2"/>
  <c r="NB47" i="2"/>
  <c r="NA47" i="2"/>
  <c r="MZ47" i="2"/>
  <c r="MY47" i="2"/>
  <c r="MX47" i="2"/>
  <c r="NF38" i="2"/>
  <c r="NE38" i="2"/>
  <c r="ND38" i="2"/>
  <c r="NC38" i="2"/>
  <c r="NB38" i="2"/>
  <c r="NA38" i="2"/>
  <c r="MZ38" i="2"/>
  <c r="MY38" i="2"/>
  <c r="MX38" i="2"/>
  <c r="NF31" i="2"/>
  <c r="NE31" i="2"/>
  <c r="ND31" i="2"/>
  <c r="NC31" i="2"/>
  <c r="NB31" i="2"/>
  <c r="NA31" i="2"/>
  <c r="MZ31" i="2"/>
  <c r="MY31" i="2"/>
  <c r="MX31" i="2"/>
  <c r="NF17" i="2"/>
  <c r="NE17" i="2"/>
  <c r="ND17" i="2"/>
  <c r="NC17" i="2"/>
  <c r="NB17" i="2"/>
  <c r="NA17" i="2"/>
  <c r="MZ17" i="2"/>
  <c r="MY17" i="2"/>
  <c r="MX17" i="2"/>
  <c r="AO37" i="1"/>
  <c r="AO36" i="1"/>
  <c r="AO35" i="1"/>
  <c r="AO34" i="1"/>
  <c r="AO31" i="1"/>
  <c r="AO23" i="1"/>
  <c r="AO22" i="1"/>
  <c r="AO8" i="1"/>
  <c r="AO7" i="1"/>
  <c r="AO6" i="1"/>
  <c r="MW62" i="2"/>
  <c r="MV62" i="2"/>
  <c r="MU62" i="2"/>
  <c r="MT62" i="2"/>
  <c r="MS62" i="2"/>
  <c r="MR62" i="2"/>
  <c r="MQ62" i="2"/>
  <c r="MP62" i="2"/>
  <c r="MO62" i="2"/>
  <c r="MW60" i="2"/>
  <c r="MV60" i="2"/>
  <c r="MU60" i="2"/>
  <c r="MT60" i="2"/>
  <c r="MS60" i="2"/>
  <c r="MR60" i="2"/>
  <c r="MQ60" i="2"/>
  <c r="MP60" i="2"/>
  <c r="MO60" i="2"/>
  <c r="MW58" i="2"/>
  <c r="MV58" i="2"/>
  <c r="MU58" i="2"/>
  <c r="MT58" i="2"/>
  <c r="MS58" i="2"/>
  <c r="MR58" i="2"/>
  <c r="MQ58" i="2"/>
  <c r="MP58" i="2"/>
  <c r="MO58" i="2"/>
  <c r="MW56" i="2"/>
  <c r="MV56" i="2"/>
  <c r="MU56" i="2"/>
  <c r="MT56" i="2"/>
  <c r="MS56" i="2"/>
  <c r="MR56" i="2"/>
  <c r="MQ56" i="2"/>
  <c r="MP56" i="2"/>
  <c r="MO56" i="2"/>
  <c r="MW54" i="2"/>
  <c r="MV54" i="2"/>
  <c r="MU54" i="2"/>
  <c r="MT54" i="2"/>
  <c r="MS54" i="2"/>
  <c r="MR54" i="2"/>
  <c r="MQ54" i="2"/>
  <c r="MP54" i="2"/>
  <c r="MO54" i="2"/>
  <c r="MW52" i="2"/>
  <c r="MV52" i="2"/>
  <c r="MU52" i="2"/>
  <c r="MT52" i="2"/>
  <c r="MS52" i="2"/>
  <c r="MR52" i="2"/>
  <c r="MQ52" i="2"/>
  <c r="MP52" i="2"/>
  <c r="MO52" i="2"/>
  <c r="MW47" i="2"/>
  <c r="MV47" i="2"/>
  <c r="MU47" i="2"/>
  <c r="MT47" i="2"/>
  <c r="MS47" i="2"/>
  <c r="MR47" i="2"/>
  <c r="MQ47" i="2"/>
  <c r="MP47" i="2"/>
  <c r="MO47" i="2"/>
  <c r="MW38" i="2"/>
  <c r="MV38" i="2"/>
  <c r="MU38" i="2"/>
  <c r="MT38" i="2"/>
  <c r="MS38" i="2"/>
  <c r="MR38" i="2"/>
  <c r="MQ38" i="2"/>
  <c r="MP38" i="2"/>
  <c r="MO38" i="2"/>
  <c r="MW31" i="2"/>
  <c r="MV31" i="2"/>
  <c r="MU31" i="2"/>
  <c r="MT31" i="2"/>
  <c r="MS31" i="2"/>
  <c r="MR31" i="2"/>
  <c r="MQ31" i="2"/>
  <c r="MP31" i="2"/>
  <c r="MO31" i="2"/>
  <c r="MW17" i="2"/>
  <c r="MV17" i="2"/>
  <c r="MU17" i="2"/>
  <c r="MT17" i="2"/>
  <c r="MS17" i="2"/>
  <c r="MR17" i="2"/>
  <c r="MQ17" i="2"/>
  <c r="MP17" i="2"/>
  <c r="MO17" i="2"/>
  <c r="MN62" i="2"/>
  <c r="MM62" i="2"/>
  <c r="ML62" i="2"/>
  <c r="MK62" i="2"/>
  <c r="MJ62" i="2"/>
  <c r="MI62" i="2"/>
  <c r="MH62" i="2"/>
  <c r="MG62" i="2"/>
  <c r="MF62" i="2"/>
  <c r="MN60" i="2"/>
  <c r="MM60" i="2"/>
  <c r="ML60" i="2"/>
  <c r="MK60" i="2"/>
  <c r="MJ60" i="2"/>
  <c r="MI60" i="2"/>
  <c r="MH60" i="2"/>
  <c r="MG60" i="2"/>
  <c r="MF60" i="2"/>
  <c r="MN58" i="2"/>
  <c r="MM58" i="2"/>
  <c r="ML58" i="2"/>
  <c r="MK58" i="2"/>
  <c r="MJ58" i="2"/>
  <c r="MI58" i="2"/>
  <c r="MH58" i="2"/>
  <c r="MG58" i="2"/>
  <c r="MF58" i="2"/>
  <c r="MN56" i="2"/>
  <c r="MM56" i="2"/>
  <c r="ML56" i="2"/>
  <c r="MK56" i="2"/>
  <c r="MJ56" i="2"/>
  <c r="MI56" i="2"/>
  <c r="MH56" i="2"/>
  <c r="MG56" i="2"/>
  <c r="MF56" i="2"/>
  <c r="MN54" i="2"/>
  <c r="MM54" i="2"/>
  <c r="ML54" i="2"/>
  <c r="MK54" i="2"/>
  <c r="MJ54" i="2"/>
  <c r="MI54" i="2"/>
  <c r="MH54" i="2"/>
  <c r="MG54" i="2"/>
  <c r="MF54" i="2"/>
  <c r="MN52" i="2"/>
  <c r="MM52" i="2"/>
  <c r="ML52" i="2"/>
  <c r="MK52" i="2"/>
  <c r="MJ52" i="2"/>
  <c r="MI52" i="2"/>
  <c r="MH52" i="2"/>
  <c r="MG52" i="2"/>
  <c r="MF52" i="2"/>
  <c r="MN47" i="2"/>
  <c r="MM47" i="2"/>
  <c r="ML47" i="2"/>
  <c r="MK47" i="2"/>
  <c r="MJ47" i="2"/>
  <c r="MI47" i="2"/>
  <c r="MH47" i="2"/>
  <c r="MG47" i="2"/>
  <c r="MF47" i="2"/>
  <c r="MN38" i="2"/>
  <c r="MM38" i="2"/>
  <c r="ML38" i="2"/>
  <c r="MK38" i="2"/>
  <c r="MJ38" i="2"/>
  <c r="MI38" i="2"/>
  <c r="MH38" i="2"/>
  <c r="MG38" i="2"/>
  <c r="MF38" i="2"/>
  <c r="MN31" i="2"/>
  <c r="MM31" i="2"/>
  <c r="ML31" i="2"/>
  <c r="MK31" i="2"/>
  <c r="MJ31" i="2"/>
  <c r="MI31" i="2"/>
  <c r="MH31" i="2"/>
  <c r="MG31" i="2"/>
  <c r="MF31" i="2"/>
  <c r="MN17" i="2"/>
  <c r="MM17" i="2"/>
  <c r="ML17" i="2"/>
  <c r="MK17" i="2"/>
  <c r="MJ17" i="2"/>
  <c r="MI17" i="2"/>
  <c r="MH17" i="2"/>
  <c r="MG17" i="2"/>
  <c r="MF17" i="2"/>
  <c r="AN37" i="1"/>
  <c r="AN36" i="1"/>
  <c r="AN35" i="1"/>
  <c r="AN34" i="1"/>
  <c r="AN31" i="1"/>
  <c r="AN23" i="1"/>
  <c r="AN22" i="1"/>
  <c r="AN8" i="1"/>
  <c r="AN7" i="1"/>
  <c r="AN6" i="1"/>
  <c r="AV9" i="1" l="1"/>
  <c r="PH63" i="2"/>
  <c r="OZ63" i="2"/>
  <c r="PB63" i="2"/>
  <c r="PD63" i="2"/>
  <c r="PF63" i="2"/>
  <c r="PA63" i="2"/>
  <c r="PC63" i="2"/>
  <c r="PE63" i="2"/>
  <c r="PG63" i="2"/>
  <c r="OS63" i="2"/>
  <c r="OR63" i="2"/>
  <c r="OQ63" i="2"/>
  <c r="OX63" i="2"/>
  <c r="OW63" i="2"/>
  <c r="OV63" i="2"/>
  <c r="OU63" i="2"/>
  <c r="OT63" i="2"/>
  <c r="AO9" i="1"/>
  <c r="AO10" i="1" s="1"/>
  <c r="AU9" i="1"/>
  <c r="AU10" i="1" s="1"/>
  <c r="AV10" i="1"/>
  <c r="AV27" i="1"/>
  <c r="OI63" i="2"/>
  <c r="OO63" i="2"/>
  <c r="OP63" i="2" s="1"/>
  <c r="ON63" i="2"/>
  <c r="OM63" i="2"/>
  <c r="OL63" i="2"/>
  <c r="OK63" i="2"/>
  <c r="OJ63" i="2"/>
  <c r="OH63" i="2"/>
  <c r="AT9" i="1"/>
  <c r="AT10" i="1" s="1"/>
  <c r="AU27" i="1"/>
  <c r="NZ63" i="2"/>
  <c r="NY63" i="2"/>
  <c r="OF63" i="2"/>
  <c r="OE63" i="2"/>
  <c r="OD63" i="2"/>
  <c r="OC63" i="2"/>
  <c r="OB63" i="2"/>
  <c r="OA63" i="2"/>
  <c r="AS9" i="1"/>
  <c r="AS10" i="1" s="1"/>
  <c r="AR9" i="1"/>
  <c r="AR27" i="1" s="1"/>
  <c r="AS27" i="1"/>
  <c r="NP63" i="2"/>
  <c r="NR63" i="2"/>
  <c r="NT63" i="2"/>
  <c r="NV63" i="2"/>
  <c r="NQ63" i="2"/>
  <c r="NS63" i="2"/>
  <c r="NU63" i="2"/>
  <c r="NW63" i="2"/>
  <c r="NX63" i="2" s="1"/>
  <c r="NH63" i="2"/>
  <c r="NG63" i="2"/>
  <c r="NN63" i="2"/>
  <c r="NM63" i="2"/>
  <c r="NL63" i="2"/>
  <c r="NK63" i="2"/>
  <c r="NJ63" i="2"/>
  <c r="NI63" i="2"/>
  <c r="AQ9" i="1"/>
  <c r="AR10" i="1"/>
  <c r="MY63" i="2"/>
  <c r="MX63" i="2"/>
  <c r="NE63" i="2"/>
  <c r="ND63" i="2"/>
  <c r="NC63" i="2"/>
  <c r="NB63" i="2"/>
  <c r="NA63" i="2"/>
  <c r="MZ63" i="2"/>
  <c r="AP9" i="1"/>
  <c r="AP27" i="1" s="1"/>
  <c r="AQ27" i="1"/>
  <c r="AQ10" i="1"/>
  <c r="MP63" i="2"/>
  <c r="MO63" i="2"/>
  <c r="MV63" i="2"/>
  <c r="MU63" i="2"/>
  <c r="MT63" i="2"/>
  <c r="MS63" i="2"/>
  <c r="MR63" i="2"/>
  <c r="MQ63" i="2"/>
  <c r="MM63" i="2"/>
  <c r="ML63" i="2"/>
  <c r="MF63" i="2"/>
  <c r="MK63" i="2"/>
  <c r="MJ63" i="2"/>
  <c r="MI63" i="2"/>
  <c r="MH63" i="2"/>
  <c r="MG63" i="2"/>
  <c r="AN9" i="1"/>
  <c r="AN27" i="1" s="1"/>
  <c r="AM37" i="1"/>
  <c r="AM36" i="1"/>
  <c r="AM35" i="1"/>
  <c r="AM34" i="1"/>
  <c r="AM31" i="1"/>
  <c r="AM23" i="1"/>
  <c r="AM22" i="1"/>
  <c r="AM8" i="1"/>
  <c r="AM7" i="1"/>
  <c r="AM6" i="1"/>
  <c r="ME62" i="2"/>
  <c r="MD62" i="2"/>
  <c r="MC62" i="2"/>
  <c r="MB62" i="2"/>
  <c r="MA62" i="2"/>
  <c r="LZ62" i="2"/>
  <c r="LY62" i="2"/>
  <c r="LX62" i="2"/>
  <c r="LW62" i="2"/>
  <c r="ME60" i="2"/>
  <c r="MD60" i="2"/>
  <c r="MC60" i="2"/>
  <c r="MB60" i="2"/>
  <c r="MA60" i="2"/>
  <c r="LZ60" i="2"/>
  <c r="LY60" i="2"/>
  <c r="LX60" i="2"/>
  <c r="LW60" i="2"/>
  <c r="ME58" i="2"/>
  <c r="MD58" i="2"/>
  <c r="MC58" i="2"/>
  <c r="MB58" i="2"/>
  <c r="MA58" i="2"/>
  <c r="LZ58" i="2"/>
  <c r="LY58" i="2"/>
  <c r="LX58" i="2"/>
  <c r="LW58" i="2"/>
  <c r="ME56" i="2"/>
  <c r="MD56" i="2"/>
  <c r="MC56" i="2"/>
  <c r="MB56" i="2"/>
  <c r="MA56" i="2"/>
  <c r="LZ56" i="2"/>
  <c r="LY56" i="2"/>
  <c r="LX56" i="2"/>
  <c r="LW56" i="2"/>
  <c r="ME54" i="2"/>
  <c r="MD54" i="2"/>
  <c r="MC54" i="2"/>
  <c r="MB54" i="2"/>
  <c r="MA54" i="2"/>
  <c r="LZ54" i="2"/>
  <c r="LY54" i="2"/>
  <c r="LX54" i="2"/>
  <c r="LW54" i="2"/>
  <c r="ME52" i="2"/>
  <c r="MD52" i="2"/>
  <c r="MC52" i="2"/>
  <c r="MB52" i="2"/>
  <c r="MA52" i="2"/>
  <c r="LZ52" i="2"/>
  <c r="LY52" i="2"/>
  <c r="LX52" i="2"/>
  <c r="LW52" i="2"/>
  <c r="ME47" i="2"/>
  <c r="MD47" i="2"/>
  <c r="MC47" i="2"/>
  <c r="MB47" i="2"/>
  <c r="MA47" i="2"/>
  <c r="LZ47" i="2"/>
  <c r="LY47" i="2"/>
  <c r="LX47" i="2"/>
  <c r="LW47" i="2"/>
  <c r="ME38" i="2"/>
  <c r="MD38" i="2"/>
  <c r="MC38" i="2"/>
  <c r="MB38" i="2"/>
  <c r="MA38" i="2"/>
  <c r="LZ38" i="2"/>
  <c r="LY38" i="2"/>
  <c r="LX38" i="2"/>
  <c r="LW38" i="2"/>
  <c r="ME31" i="2"/>
  <c r="MD31" i="2"/>
  <c r="MC31" i="2"/>
  <c r="MB31" i="2"/>
  <c r="MA31" i="2"/>
  <c r="LZ31" i="2"/>
  <c r="LY31" i="2"/>
  <c r="LX31" i="2"/>
  <c r="LW31" i="2"/>
  <c r="ME17" i="2"/>
  <c r="MD17" i="2"/>
  <c r="MC17" i="2"/>
  <c r="MB17" i="2"/>
  <c r="MA17" i="2"/>
  <c r="LZ17" i="2"/>
  <c r="LY17" i="2"/>
  <c r="LX17" i="2"/>
  <c r="LW17" i="2"/>
  <c r="AL37" i="1"/>
  <c r="AL36" i="1"/>
  <c r="AL35" i="1"/>
  <c r="AL34" i="1"/>
  <c r="AL31" i="1"/>
  <c r="AL23" i="1"/>
  <c r="AL22" i="1"/>
  <c r="AL8" i="1"/>
  <c r="AL7" i="1"/>
  <c r="AL6" i="1"/>
  <c r="LV62" i="2"/>
  <c r="LU62" i="2"/>
  <c r="LT62" i="2"/>
  <c r="LS62" i="2"/>
  <c r="LR62" i="2"/>
  <c r="LQ62" i="2"/>
  <c r="LP62" i="2"/>
  <c r="LO62" i="2"/>
  <c r="LN62" i="2"/>
  <c r="LV60" i="2"/>
  <c r="LU60" i="2"/>
  <c r="LT60" i="2"/>
  <c r="LS60" i="2"/>
  <c r="LR60" i="2"/>
  <c r="LQ60" i="2"/>
  <c r="LP60" i="2"/>
  <c r="LO60" i="2"/>
  <c r="LN60" i="2"/>
  <c r="LV58" i="2"/>
  <c r="LU58" i="2"/>
  <c r="LT58" i="2"/>
  <c r="LS58" i="2"/>
  <c r="LR58" i="2"/>
  <c r="LQ58" i="2"/>
  <c r="LP58" i="2"/>
  <c r="LO58" i="2"/>
  <c r="LN58" i="2"/>
  <c r="LV56" i="2"/>
  <c r="LU56" i="2"/>
  <c r="LT56" i="2"/>
  <c r="LS56" i="2"/>
  <c r="LR56" i="2"/>
  <c r="LQ56" i="2"/>
  <c r="LP56" i="2"/>
  <c r="LO56" i="2"/>
  <c r="LN56" i="2"/>
  <c r="LV54" i="2"/>
  <c r="LU54" i="2"/>
  <c r="LT54" i="2"/>
  <c r="LS54" i="2"/>
  <c r="LR54" i="2"/>
  <c r="LQ54" i="2"/>
  <c r="LP54" i="2"/>
  <c r="LO54" i="2"/>
  <c r="LN54" i="2"/>
  <c r="LV52" i="2"/>
  <c r="LU52" i="2"/>
  <c r="LT52" i="2"/>
  <c r="LS52" i="2"/>
  <c r="LR52" i="2"/>
  <c r="LQ52" i="2"/>
  <c r="LP52" i="2"/>
  <c r="LO52" i="2"/>
  <c r="LN52" i="2"/>
  <c r="LV47" i="2"/>
  <c r="LU47" i="2"/>
  <c r="LT47" i="2"/>
  <c r="LS47" i="2"/>
  <c r="LR47" i="2"/>
  <c r="LQ47" i="2"/>
  <c r="LP47" i="2"/>
  <c r="LO47" i="2"/>
  <c r="LN47" i="2"/>
  <c r="LV38" i="2"/>
  <c r="LU38" i="2"/>
  <c r="LT38" i="2"/>
  <c r="LS38" i="2"/>
  <c r="LR38" i="2"/>
  <c r="LQ38" i="2"/>
  <c r="LP38" i="2"/>
  <c r="LO38" i="2"/>
  <c r="LN38" i="2"/>
  <c r="LV31" i="2"/>
  <c r="LU31" i="2"/>
  <c r="LT31" i="2"/>
  <c r="LS31" i="2"/>
  <c r="LR31" i="2"/>
  <c r="LQ31" i="2"/>
  <c r="LP31" i="2"/>
  <c r="LO31" i="2"/>
  <c r="LN31" i="2"/>
  <c r="LV17" i="2"/>
  <c r="LU17" i="2"/>
  <c r="LT17" i="2"/>
  <c r="LS17" i="2"/>
  <c r="LR17" i="2"/>
  <c r="LQ17" i="2"/>
  <c r="LP17" i="2"/>
  <c r="LO17" i="2"/>
  <c r="LN17" i="2"/>
  <c r="AK37" i="1"/>
  <c r="AK36" i="1"/>
  <c r="AK35" i="1"/>
  <c r="AK34" i="1"/>
  <c r="AK31" i="1"/>
  <c r="AK23" i="1"/>
  <c r="AK22" i="1"/>
  <c r="AK8" i="1"/>
  <c r="AK7" i="1"/>
  <c r="AK6" i="1"/>
  <c r="LM62" i="2"/>
  <c r="LL62" i="2"/>
  <c r="LK62" i="2"/>
  <c r="LJ62" i="2"/>
  <c r="LI62" i="2"/>
  <c r="LH62" i="2"/>
  <c r="LG62" i="2"/>
  <c r="LF62" i="2"/>
  <c r="LE62" i="2"/>
  <c r="LM60" i="2"/>
  <c r="LL60" i="2"/>
  <c r="LK60" i="2"/>
  <c r="LJ60" i="2"/>
  <c r="LI60" i="2"/>
  <c r="LH60" i="2"/>
  <c r="LG60" i="2"/>
  <c r="LF60" i="2"/>
  <c r="LE60" i="2"/>
  <c r="LM58" i="2"/>
  <c r="LL58" i="2"/>
  <c r="LK58" i="2"/>
  <c r="LJ58" i="2"/>
  <c r="LI58" i="2"/>
  <c r="LH58" i="2"/>
  <c r="LG58" i="2"/>
  <c r="LF58" i="2"/>
  <c r="LE58" i="2"/>
  <c r="LM56" i="2"/>
  <c r="LL56" i="2"/>
  <c r="LK56" i="2"/>
  <c r="LJ56" i="2"/>
  <c r="LI56" i="2"/>
  <c r="LH56" i="2"/>
  <c r="LG56" i="2"/>
  <c r="LF56" i="2"/>
  <c r="LE56" i="2"/>
  <c r="LM54" i="2"/>
  <c r="LL54" i="2"/>
  <c r="LK54" i="2"/>
  <c r="LJ54" i="2"/>
  <c r="LI54" i="2"/>
  <c r="LH54" i="2"/>
  <c r="LG54" i="2"/>
  <c r="LF54" i="2"/>
  <c r="LE54" i="2"/>
  <c r="LM52" i="2"/>
  <c r="LL52" i="2"/>
  <c r="LK52" i="2"/>
  <c r="LJ52" i="2"/>
  <c r="LI52" i="2"/>
  <c r="LH52" i="2"/>
  <c r="LG52" i="2"/>
  <c r="LF52" i="2"/>
  <c r="LE52" i="2"/>
  <c r="LM47" i="2"/>
  <c r="LL47" i="2"/>
  <c r="LK47" i="2"/>
  <c r="LJ47" i="2"/>
  <c r="LI47" i="2"/>
  <c r="LH47" i="2"/>
  <c r="LG47" i="2"/>
  <c r="LF47" i="2"/>
  <c r="LE47" i="2"/>
  <c r="LM38" i="2"/>
  <c r="LL38" i="2"/>
  <c r="LK38" i="2"/>
  <c r="LJ38" i="2"/>
  <c r="LI38" i="2"/>
  <c r="LH38" i="2"/>
  <c r="LG38" i="2"/>
  <c r="LF38" i="2"/>
  <c r="LE38" i="2"/>
  <c r="LM31" i="2"/>
  <c r="LL31" i="2"/>
  <c r="LK31" i="2"/>
  <c r="LJ31" i="2"/>
  <c r="LI31" i="2"/>
  <c r="LH31" i="2"/>
  <c r="LG31" i="2"/>
  <c r="LF31" i="2"/>
  <c r="LE31" i="2"/>
  <c r="LM17" i="2"/>
  <c r="LL17" i="2"/>
  <c r="LK17" i="2"/>
  <c r="LJ17" i="2"/>
  <c r="LI17" i="2"/>
  <c r="LH17" i="2"/>
  <c r="LG17" i="2"/>
  <c r="LF17" i="2"/>
  <c r="LE17" i="2"/>
  <c r="AJ37" i="1"/>
  <c r="AJ36" i="1"/>
  <c r="AJ35" i="1"/>
  <c r="AJ34" i="1"/>
  <c r="AJ31" i="1"/>
  <c r="AJ23" i="1"/>
  <c r="AJ22" i="1"/>
  <c r="AJ8" i="1"/>
  <c r="AJ7" i="1"/>
  <c r="AJ6" i="1"/>
  <c r="LD62" i="2"/>
  <c r="LC62" i="2"/>
  <c r="LB62" i="2"/>
  <c r="LA62" i="2"/>
  <c r="KZ62" i="2"/>
  <c r="KY62" i="2"/>
  <c r="KX62" i="2"/>
  <c r="KW62" i="2"/>
  <c r="KV62" i="2"/>
  <c r="LD60" i="2"/>
  <c r="LC60" i="2"/>
  <c r="LB60" i="2"/>
  <c r="LA60" i="2"/>
  <c r="KZ60" i="2"/>
  <c r="KY60" i="2"/>
  <c r="KX60" i="2"/>
  <c r="KW60" i="2"/>
  <c r="KV60" i="2"/>
  <c r="LD58" i="2"/>
  <c r="LC58" i="2"/>
  <c r="LB58" i="2"/>
  <c r="LA58" i="2"/>
  <c r="KZ58" i="2"/>
  <c r="KY58" i="2"/>
  <c r="KX58" i="2"/>
  <c r="KW58" i="2"/>
  <c r="KV58" i="2"/>
  <c r="LD56" i="2"/>
  <c r="LC56" i="2"/>
  <c r="LB56" i="2"/>
  <c r="LA56" i="2"/>
  <c r="KZ56" i="2"/>
  <c r="KY56" i="2"/>
  <c r="KX56" i="2"/>
  <c r="KW56" i="2"/>
  <c r="KV56" i="2"/>
  <c r="LD54" i="2"/>
  <c r="LC54" i="2"/>
  <c r="LB54" i="2"/>
  <c r="LA54" i="2"/>
  <c r="KZ54" i="2"/>
  <c r="KY54" i="2"/>
  <c r="KX54" i="2"/>
  <c r="KW54" i="2"/>
  <c r="KV54" i="2"/>
  <c r="LD52" i="2"/>
  <c r="LC52" i="2"/>
  <c r="LB52" i="2"/>
  <c r="LA52" i="2"/>
  <c r="KZ52" i="2"/>
  <c r="KY52" i="2"/>
  <c r="KX52" i="2"/>
  <c r="KW52" i="2"/>
  <c r="KV52" i="2"/>
  <c r="LD47" i="2"/>
  <c r="LC47" i="2"/>
  <c r="LB47" i="2"/>
  <c r="LA47" i="2"/>
  <c r="KZ47" i="2"/>
  <c r="KY47" i="2"/>
  <c r="KX47" i="2"/>
  <c r="KW47" i="2"/>
  <c r="KV47" i="2"/>
  <c r="LD38" i="2"/>
  <c r="LC38" i="2"/>
  <c r="LB38" i="2"/>
  <c r="LA38" i="2"/>
  <c r="KZ38" i="2"/>
  <c r="KY38" i="2"/>
  <c r="KX38" i="2"/>
  <c r="KW38" i="2"/>
  <c r="KV38" i="2"/>
  <c r="LD31" i="2"/>
  <c r="LC31" i="2"/>
  <c r="LB31" i="2"/>
  <c r="LA31" i="2"/>
  <c r="KZ31" i="2"/>
  <c r="KY31" i="2"/>
  <c r="KX31" i="2"/>
  <c r="KW31" i="2"/>
  <c r="KV31" i="2"/>
  <c r="LD17" i="2"/>
  <c r="LC17" i="2"/>
  <c r="LB17" i="2"/>
  <c r="LA17" i="2"/>
  <c r="KZ17" i="2"/>
  <c r="KY17" i="2"/>
  <c r="KX17" i="2"/>
  <c r="KW17" i="2"/>
  <c r="KV17" i="2"/>
  <c r="AI37" i="1"/>
  <c r="AI36" i="1"/>
  <c r="AI35" i="1"/>
  <c r="AI34" i="1"/>
  <c r="AI31" i="1"/>
  <c r="AI23" i="1"/>
  <c r="AI22" i="1"/>
  <c r="AI8" i="1"/>
  <c r="AI7" i="1"/>
  <c r="AI6" i="1"/>
  <c r="KU62" i="2"/>
  <c r="KT62" i="2"/>
  <c r="KS62" i="2"/>
  <c r="KR62" i="2"/>
  <c r="KQ62" i="2"/>
  <c r="KP62" i="2"/>
  <c r="KO62" i="2"/>
  <c r="KN62" i="2"/>
  <c r="KM62" i="2"/>
  <c r="KU60" i="2"/>
  <c r="KT60" i="2"/>
  <c r="KS60" i="2"/>
  <c r="KR60" i="2"/>
  <c r="KQ60" i="2"/>
  <c r="KP60" i="2"/>
  <c r="KO60" i="2"/>
  <c r="KN60" i="2"/>
  <c r="KM60" i="2"/>
  <c r="KU58" i="2"/>
  <c r="KT58" i="2"/>
  <c r="KS58" i="2"/>
  <c r="KR58" i="2"/>
  <c r="KQ58" i="2"/>
  <c r="KP58" i="2"/>
  <c r="KO58" i="2"/>
  <c r="KN58" i="2"/>
  <c r="KM58" i="2"/>
  <c r="KU56" i="2"/>
  <c r="KT56" i="2"/>
  <c r="KS56" i="2"/>
  <c r="KR56" i="2"/>
  <c r="KQ56" i="2"/>
  <c r="KP56" i="2"/>
  <c r="KO56" i="2"/>
  <c r="KN56" i="2"/>
  <c r="KM56" i="2"/>
  <c r="KU54" i="2"/>
  <c r="KT54" i="2"/>
  <c r="KS54" i="2"/>
  <c r="KR54" i="2"/>
  <c r="KQ54" i="2"/>
  <c r="KP54" i="2"/>
  <c r="KO54" i="2"/>
  <c r="KN54" i="2"/>
  <c r="KM54" i="2"/>
  <c r="KU52" i="2"/>
  <c r="KT52" i="2"/>
  <c r="KS52" i="2"/>
  <c r="KR52" i="2"/>
  <c r="KQ52" i="2"/>
  <c r="KP52" i="2"/>
  <c r="KO52" i="2"/>
  <c r="KN52" i="2"/>
  <c r="KM52" i="2"/>
  <c r="KU47" i="2"/>
  <c r="KT47" i="2"/>
  <c r="KS47" i="2"/>
  <c r="KR47" i="2"/>
  <c r="KQ47" i="2"/>
  <c r="KP47" i="2"/>
  <c r="KO47" i="2"/>
  <c r="KN47" i="2"/>
  <c r="KM47" i="2"/>
  <c r="KU38" i="2"/>
  <c r="KT38" i="2"/>
  <c r="KS38" i="2"/>
  <c r="KR38" i="2"/>
  <c r="KQ38" i="2"/>
  <c r="KP38" i="2"/>
  <c r="KO38" i="2"/>
  <c r="KN38" i="2"/>
  <c r="KM38" i="2"/>
  <c r="KU31" i="2"/>
  <c r="KT31" i="2"/>
  <c r="KS31" i="2"/>
  <c r="KR31" i="2"/>
  <c r="KQ31" i="2"/>
  <c r="KP31" i="2"/>
  <c r="KO31" i="2"/>
  <c r="KN31" i="2"/>
  <c r="KM31" i="2"/>
  <c r="KU17" i="2"/>
  <c r="KT17" i="2"/>
  <c r="KS17" i="2"/>
  <c r="KR17" i="2"/>
  <c r="KQ17" i="2"/>
  <c r="KP17" i="2"/>
  <c r="KO17" i="2"/>
  <c r="KN17" i="2"/>
  <c r="KM17" i="2"/>
  <c r="KB31" i="2"/>
  <c r="AH37" i="1"/>
  <c r="AH36" i="1"/>
  <c r="AH35" i="1"/>
  <c r="AH34" i="1"/>
  <c r="AH31" i="1"/>
  <c r="AH23" i="1"/>
  <c r="AH22" i="1"/>
  <c r="AH8" i="1"/>
  <c r="AH7" i="1"/>
  <c r="AH6" i="1"/>
  <c r="KL62" i="2"/>
  <c r="KK62" i="2"/>
  <c r="KJ62" i="2"/>
  <c r="KI62" i="2"/>
  <c r="KH62" i="2"/>
  <c r="KG62" i="2"/>
  <c r="KF62" i="2"/>
  <c r="KE62" i="2"/>
  <c r="KD62" i="2"/>
  <c r="KL60" i="2"/>
  <c r="KK60" i="2"/>
  <c r="KJ60" i="2"/>
  <c r="KI60" i="2"/>
  <c r="KH60" i="2"/>
  <c r="KG60" i="2"/>
  <c r="KF60" i="2"/>
  <c r="KE60" i="2"/>
  <c r="KD60" i="2"/>
  <c r="KL58" i="2"/>
  <c r="KK58" i="2"/>
  <c r="KJ58" i="2"/>
  <c r="KI58" i="2"/>
  <c r="KH58" i="2"/>
  <c r="KG58" i="2"/>
  <c r="KF58" i="2"/>
  <c r="KE58" i="2"/>
  <c r="KD58" i="2"/>
  <c r="KL56" i="2"/>
  <c r="KK56" i="2"/>
  <c r="KJ56" i="2"/>
  <c r="KI56" i="2"/>
  <c r="KH56" i="2"/>
  <c r="KG56" i="2"/>
  <c r="KF56" i="2"/>
  <c r="KE56" i="2"/>
  <c r="KD56" i="2"/>
  <c r="KL54" i="2"/>
  <c r="KK54" i="2"/>
  <c r="KJ54" i="2"/>
  <c r="KI54" i="2"/>
  <c r="KH54" i="2"/>
  <c r="KG54" i="2"/>
  <c r="KF54" i="2"/>
  <c r="KE54" i="2"/>
  <c r="KD54" i="2"/>
  <c r="KL52" i="2"/>
  <c r="KK52" i="2"/>
  <c r="KJ52" i="2"/>
  <c r="KI52" i="2"/>
  <c r="KH52" i="2"/>
  <c r="KG52" i="2"/>
  <c r="KF52" i="2"/>
  <c r="KE52" i="2"/>
  <c r="KD52" i="2"/>
  <c r="KL47" i="2"/>
  <c r="KK47" i="2"/>
  <c r="KJ47" i="2"/>
  <c r="KI47" i="2"/>
  <c r="KH47" i="2"/>
  <c r="KG47" i="2"/>
  <c r="KF47" i="2"/>
  <c r="KE47" i="2"/>
  <c r="KD47" i="2"/>
  <c r="KL38" i="2"/>
  <c r="KK38" i="2"/>
  <c r="KJ38" i="2"/>
  <c r="KI38" i="2"/>
  <c r="KH38" i="2"/>
  <c r="KG38" i="2"/>
  <c r="KF38" i="2"/>
  <c r="KE38" i="2"/>
  <c r="KD38" i="2"/>
  <c r="KL31" i="2"/>
  <c r="KK31" i="2"/>
  <c r="KJ31" i="2"/>
  <c r="KI31" i="2"/>
  <c r="KH31" i="2"/>
  <c r="KG31" i="2"/>
  <c r="KF31" i="2"/>
  <c r="KE31" i="2"/>
  <c r="KD31" i="2"/>
  <c r="KL17" i="2"/>
  <c r="KK17" i="2"/>
  <c r="KJ17" i="2"/>
  <c r="KI17" i="2"/>
  <c r="KH17" i="2"/>
  <c r="KG17" i="2"/>
  <c r="KF17" i="2"/>
  <c r="KE17" i="2"/>
  <c r="KD17" i="2"/>
  <c r="AG37" i="1"/>
  <c r="AG36" i="1"/>
  <c r="AG35" i="1"/>
  <c r="AG34" i="1"/>
  <c r="AG31" i="1"/>
  <c r="AG23" i="1"/>
  <c r="AG22" i="1"/>
  <c r="AG8" i="1"/>
  <c r="AG7" i="1"/>
  <c r="AG6" i="1"/>
  <c r="KC62" i="2"/>
  <c r="KB62" i="2"/>
  <c r="KA62" i="2"/>
  <c r="JZ62" i="2"/>
  <c r="JY62" i="2"/>
  <c r="JX62" i="2"/>
  <c r="JW62" i="2"/>
  <c r="JV62" i="2"/>
  <c r="JU62" i="2"/>
  <c r="KC60" i="2"/>
  <c r="KB60" i="2"/>
  <c r="KA60" i="2"/>
  <c r="JZ60" i="2"/>
  <c r="JY60" i="2"/>
  <c r="JX60" i="2"/>
  <c r="JW60" i="2"/>
  <c r="JV60" i="2"/>
  <c r="JU60" i="2"/>
  <c r="KC58" i="2"/>
  <c r="KB58" i="2"/>
  <c r="KA58" i="2"/>
  <c r="JZ58" i="2"/>
  <c r="JY58" i="2"/>
  <c r="JX58" i="2"/>
  <c r="JW58" i="2"/>
  <c r="JV58" i="2"/>
  <c r="JU58" i="2"/>
  <c r="KC56" i="2"/>
  <c r="KB56" i="2"/>
  <c r="KA56" i="2"/>
  <c r="JZ56" i="2"/>
  <c r="JY56" i="2"/>
  <c r="JX56" i="2"/>
  <c r="JW56" i="2"/>
  <c r="JV56" i="2"/>
  <c r="JU56" i="2"/>
  <c r="KC54" i="2"/>
  <c r="KB54" i="2"/>
  <c r="KA54" i="2"/>
  <c r="JZ54" i="2"/>
  <c r="JY54" i="2"/>
  <c r="JX54" i="2"/>
  <c r="JW54" i="2"/>
  <c r="JV54" i="2"/>
  <c r="JU54" i="2"/>
  <c r="KC52" i="2"/>
  <c r="KB52" i="2"/>
  <c r="KA52" i="2"/>
  <c r="JZ52" i="2"/>
  <c r="JY52" i="2"/>
  <c r="JX52" i="2"/>
  <c r="JW52" i="2"/>
  <c r="JV52" i="2"/>
  <c r="JU52" i="2"/>
  <c r="KC47" i="2"/>
  <c r="KB47" i="2"/>
  <c r="KA47" i="2"/>
  <c r="JZ47" i="2"/>
  <c r="JY47" i="2"/>
  <c r="JX47" i="2"/>
  <c r="JW47" i="2"/>
  <c r="JV47" i="2"/>
  <c r="JU47" i="2"/>
  <c r="KC38" i="2"/>
  <c r="KB38" i="2"/>
  <c r="KA38" i="2"/>
  <c r="JZ38" i="2"/>
  <c r="JY38" i="2"/>
  <c r="JX38" i="2"/>
  <c r="JW38" i="2"/>
  <c r="JV38" i="2"/>
  <c r="JU38" i="2"/>
  <c r="KC31" i="2"/>
  <c r="KA31" i="2"/>
  <c r="JZ31" i="2"/>
  <c r="JY31" i="2"/>
  <c r="JX31" i="2"/>
  <c r="JW31" i="2"/>
  <c r="JV31" i="2"/>
  <c r="JU31" i="2"/>
  <c r="KC17" i="2"/>
  <c r="KB17" i="2"/>
  <c r="KA17" i="2"/>
  <c r="JZ17" i="2"/>
  <c r="JY17" i="2"/>
  <c r="JX17" i="2"/>
  <c r="JW17" i="2"/>
  <c r="JV17" i="2"/>
  <c r="JU17" i="2"/>
  <c r="AF37" i="1"/>
  <c r="AF36" i="1"/>
  <c r="AF35" i="1"/>
  <c r="AF34" i="1"/>
  <c r="AF31" i="1"/>
  <c r="AF23" i="1"/>
  <c r="AF22" i="1"/>
  <c r="AF8" i="1"/>
  <c r="AF7" i="1"/>
  <c r="AF6" i="1"/>
  <c r="JT62" i="2"/>
  <c r="JS62" i="2"/>
  <c r="JR62" i="2"/>
  <c r="JQ62" i="2"/>
  <c r="JP62" i="2"/>
  <c r="JO62" i="2"/>
  <c r="JN62" i="2"/>
  <c r="JM62" i="2"/>
  <c r="JL62" i="2"/>
  <c r="JT60" i="2"/>
  <c r="JS60" i="2"/>
  <c r="JR60" i="2"/>
  <c r="JQ60" i="2"/>
  <c r="JP60" i="2"/>
  <c r="JO60" i="2"/>
  <c r="JN60" i="2"/>
  <c r="JM60" i="2"/>
  <c r="JL60" i="2"/>
  <c r="JT58" i="2"/>
  <c r="JS58" i="2"/>
  <c r="JR58" i="2"/>
  <c r="JQ58" i="2"/>
  <c r="JP58" i="2"/>
  <c r="JO58" i="2"/>
  <c r="JN58" i="2"/>
  <c r="JM58" i="2"/>
  <c r="JL58" i="2"/>
  <c r="JT56" i="2"/>
  <c r="JS56" i="2"/>
  <c r="JR56" i="2"/>
  <c r="JQ56" i="2"/>
  <c r="JP56" i="2"/>
  <c r="JO56" i="2"/>
  <c r="JN56" i="2"/>
  <c r="JM56" i="2"/>
  <c r="JL56" i="2"/>
  <c r="JT54" i="2"/>
  <c r="JS54" i="2"/>
  <c r="JR54" i="2"/>
  <c r="JQ54" i="2"/>
  <c r="JP54" i="2"/>
  <c r="JO54" i="2"/>
  <c r="JN54" i="2"/>
  <c r="JM54" i="2"/>
  <c r="JL54" i="2"/>
  <c r="JT52" i="2"/>
  <c r="JS52" i="2"/>
  <c r="JR52" i="2"/>
  <c r="JQ52" i="2"/>
  <c r="JP52" i="2"/>
  <c r="JO52" i="2"/>
  <c r="JN52" i="2"/>
  <c r="JM52" i="2"/>
  <c r="JL52" i="2"/>
  <c r="JT47" i="2"/>
  <c r="JS47" i="2"/>
  <c r="JR47" i="2"/>
  <c r="JQ47" i="2"/>
  <c r="JP47" i="2"/>
  <c r="JO47" i="2"/>
  <c r="JN47" i="2"/>
  <c r="JM47" i="2"/>
  <c r="JL47" i="2"/>
  <c r="JT38" i="2"/>
  <c r="JS38" i="2"/>
  <c r="JR38" i="2"/>
  <c r="JQ38" i="2"/>
  <c r="JP38" i="2"/>
  <c r="JO38" i="2"/>
  <c r="JN38" i="2"/>
  <c r="JM38" i="2"/>
  <c r="JL38" i="2"/>
  <c r="JT31" i="2"/>
  <c r="JS31" i="2"/>
  <c r="JR31" i="2"/>
  <c r="JQ31" i="2"/>
  <c r="JP31" i="2"/>
  <c r="JO31" i="2"/>
  <c r="JN31" i="2"/>
  <c r="JM31" i="2"/>
  <c r="JL31" i="2"/>
  <c r="JT17" i="2"/>
  <c r="JS17" i="2"/>
  <c r="JR17" i="2"/>
  <c r="JQ17" i="2"/>
  <c r="JP17" i="2"/>
  <c r="JO17" i="2"/>
  <c r="JN17" i="2"/>
  <c r="JM17" i="2"/>
  <c r="JL17" i="2"/>
  <c r="AE37" i="1"/>
  <c r="AE36" i="1"/>
  <c r="AE35" i="1"/>
  <c r="AE34" i="1"/>
  <c r="AE31" i="1"/>
  <c r="AE23" i="1"/>
  <c r="AE22" i="1"/>
  <c r="AE8" i="1"/>
  <c r="AE7" i="1"/>
  <c r="AE6" i="1"/>
  <c r="JK62" i="2"/>
  <c r="JJ62" i="2"/>
  <c r="JI62" i="2"/>
  <c r="JH62" i="2"/>
  <c r="JG62" i="2"/>
  <c r="JF62" i="2"/>
  <c r="JE62" i="2"/>
  <c r="JD62" i="2"/>
  <c r="JC62" i="2"/>
  <c r="JK60" i="2"/>
  <c r="JJ60" i="2"/>
  <c r="JI60" i="2"/>
  <c r="JH60" i="2"/>
  <c r="JG60" i="2"/>
  <c r="JF60" i="2"/>
  <c r="JE60" i="2"/>
  <c r="JD60" i="2"/>
  <c r="JC60" i="2"/>
  <c r="JK58" i="2"/>
  <c r="JJ58" i="2"/>
  <c r="JI58" i="2"/>
  <c r="JH58" i="2"/>
  <c r="JG58" i="2"/>
  <c r="JF58" i="2"/>
  <c r="JE58" i="2"/>
  <c r="JD58" i="2"/>
  <c r="JC58" i="2"/>
  <c r="JK56" i="2"/>
  <c r="JJ56" i="2"/>
  <c r="JI56" i="2"/>
  <c r="JH56" i="2"/>
  <c r="JG56" i="2"/>
  <c r="JF56" i="2"/>
  <c r="JE56" i="2"/>
  <c r="JD56" i="2"/>
  <c r="JC56" i="2"/>
  <c r="JK54" i="2"/>
  <c r="JJ54" i="2"/>
  <c r="JI54" i="2"/>
  <c r="JH54" i="2"/>
  <c r="JG54" i="2"/>
  <c r="JF54" i="2"/>
  <c r="JE54" i="2"/>
  <c r="JD54" i="2"/>
  <c r="JC54" i="2"/>
  <c r="JK52" i="2"/>
  <c r="JJ52" i="2"/>
  <c r="JI52" i="2"/>
  <c r="JH52" i="2"/>
  <c r="JG52" i="2"/>
  <c r="JF52" i="2"/>
  <c r="JE52" i="2"/>
  <c r="JD52" i="2"/>
  <c r="JC52" i="2"/>
  <c r="JK47" i="2"/>
  <c r="JJ47" i="2"/>
  <c r="JI47" i="2"/>
  <c r="JH47" i="2"/>
  <c r="JG47" i="2"/>
  <c r="JF47" i="2"/>
  <c r="JE47" i="2"/>
  <c r="JD47" i="2"/>
  <c r="JC47" i="2"/>
  <c r="JK38" i="2"/>
  <c r="JJ38" i="2"/>
  <c r="JI38" i="2"/>
  <c r="JH38" i="2"/>
  <c r="JG38" i="2"/>
  <c r="JF38" i="2"/>
  <c r="JE38" i="2"/>
  <c r="JD38" i="2"/>
  <c r="JC38" i="2"/>
  <c r="JK31" i="2"/>
  <c r="JJ31" i="2"/>
  <c r="JI31" i="2"/>
  <c r="JH31" i="2"/>
  <c r="JG31" i="2"/>
  <c r="JF31" i="2"/>
  <c r="JE31" i="2"/>
  <c r="JD31" i="2"/>
  <c r="JC31" i="2"/>
  <c r="JK17" i="2"/>
  <c r="JJ17" i="2"/>
  <c r="JI17" i="2"/>
  <c r="JH17" i="2"/>
  <c r="JG17" i="2"/>
  <c r="JF17" i="2"/>
  <c r="JE17" i="2"/>
  <c r="JD17" i="2"/>
  <c r="JC17" i="2"/>
  <c r="AD37" i="1"/>
  <c r="AD36" i="1"/>
  <c r="AD35" i="1"/>
  <c r="AD34" i="1"/>
  <c r="AD31" i="1"/>
  <c r="AD23" i="1"/>
  <c r="AD22" i="1"/>
  <c r="AD8" i="1"/>
  <c r="AD7" i="1"/>
  <c r="AD6" i="1"/>
  <c r="JB62" i="2"/>
  <c r="JA62" i="2"/>
  <c r="IZ62" i="2"/>
  <c r="IY62" i="2"/>
  <c r="IX62" i="2"/>
  <c r="IW62" i="2"/>
  <c r="IV62" i="2"/>
  <c r="IU62" i="2"/>
  <c r="IT62" i="2"/>
  <c r="JB60" i="2"/>
  <c r="JA60" i="2"/>
  <c r="IZ60" i="2"/>
  <c r="IY60" i="2"/>
  <c r="IX60" i="2"/>
  <c r="IW60" i="2"/>
  <c r="IV60" i="2"/>
  <c r="IU60" i="2"/>
  <c r="IT60" i="2"/>
  <c r="JB58" i="2"/>
  <c r="JA58" i="2"/>
  <c r="IZ58" i="2"/>
  <c r="IY58" i="2"/>
  <c r="IX58" i="2"/>
  <c r="IW58" i="2"/>
  <c r="IV58" i="2"/>
  <c r="IU58" i="2"/>
  <c r="IT58" i="2"/>
  <c r="JB56" i="2"/>
  <c r="JA56" i="2"/>
  <c r="IZ56" i="2"/>
  <c r="IY56" i="2"/>
  <c r="IX56" i="2"/>
  <c r="IW56" i="2"/>
  <c r="IV56" i="2"/>
  <c r="IU56" i="2"/>
  <c r="IT56" i="2"/>
  <c r="JB54" i="2"/>
  <c r="JA54" i="2"/>
  <c r="IZ54" i="2"/>
  <c r="IY54" i="2"/>
  <c r="IX54" i="2"/>
  <c r="IW54" i="2"/>
  <c r="IV54" i="2"/>
  <c r="IU54" i="2"/>
  <c r="IT54" i="2"/>
  <c r="JB52" i="2"/>
  <c r="JA52" i="2"/>
  <c r="IZ52" i="2"/>
  <c r="IY52" i="2"/>
  <c r="IX52" i="2"/>
  <c r="IW52" i="2"/>
  <c r="IV52" i="2"/>
  <c r="IU52" i="2"/>
  <c r="IT52" i="2"/>
  <c r="JB47" i="2"/>
  <c r="JA47" i="2"/>
  <c r="IZ47" i="2"/>
  <c r="IY47" i="2"/>
  <c r="IX47" i="2"/>
  <c r="IW47" i="2"/>
  <c r="IV47" i="2"/>
  <c r="IU47" i="2"/>
  <c r="IT47" i="2"/>
  <c r="JB38" i="2"/>
  <c r="JA38" i="2"/>
  <c r="IZ38" i="2"/>
  <c r="IY38" i="2"/>
  <c r="IX38" i="2"/>
  <c r="IW38" i="2"/>
  <c r="IV38" i="2"/>
  <c r="IU38" i="2"/>
  <c r="IT38" i="2"/>
  <c r="JB31" i="2"/>
  <c r="JA31" i="2"/>
  <c r="IZ31" i="2"/>
  <c r="IY31" i="2"/>
  <c r="IX31" i="2"/>
  <c r="IW31" i="2"/>
  <c r="IV31" i="2"/>
  <c r="IU31" i="2"/>
  <c r="IT31" i="2"/>
  <c r="JB17" i="2"/>
  <c r="JA17" i="2"/>
  <c r="IZ17" i="2"/>
  <c r="IY17" i="2"/>
  <c r="IX17" i="2"/>
  <c r="IW17" i="2"/>
  <c r="IV17" i="2"/>
  <c r="IU17" i="2"/>
  <c r="IT17" i="2"/>
  <c r="IA31" i="2"/>
  <c r="HZ31" i="2"/>
  <c r="HY31" i="2"/>
  <c r="HX31" i="2"/>
  <c r="HW31" i="2"/>
  <c r="HV31" i="2"/>
  <c r="HU31" i="2"/>
  <c r="HT31" i="2"/>
  <c r="HS31" i="2"/>
  <c r="HR31" i="2"/>
  <c r="HQ31" i="2"/>
  <c r="HP31" i="2"/>
  <c r="HO31" i="2"/>
  <c r="HN31" i="2"/>
  <c r="HM31" i="2"/>
  <c r="HL31" i="2"/>
  <c r="HK31" i="2"/>
  <c r="HJ31" i="2"/>
  <c r="HI31" i="2"/>
  <c r="HH31" i="2"/>
  <c r="HG31" i="2"/>
  <c r="HF31" i="2"/>
  <c r="HE31" i="2"/>
  <c r="HD31" i="2"/>
  <c r="HC31" i="2"/>
  <c r="HB31" i="2"/>
  <c r="HA31" i="2"/>
  <c r="GZ31" i="2"/>
  <c r="GY31" i="2"/>
  <c r="GX31" i="2"/>
  <c r="GW31" i="2"/>
  <c r="GV31" i="2"/>
  <c r="GU31" i="2"/>
  <c r="GT31" i="2"/>
  <c r="GS31" i="2"/>
  <c r="GR31" i="2"/>
  <c r="GQ31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IS31" i="2"/>
  <c r="IR31" i="2"/>
  <c r="IQ31" i="2"/>
  <c r="IP31" i="2"/>
  <c r="IO31" i="2"/>
  <c r="IN31" i="2"/>
  <c r="IM31" i="2"/>
  <c r="IL31" i="2"/>
  <c r="IK31" i="2"/>
  <c r="IJ31" i="2"/>
  <c r="IC31" i="2"/>
  <c r="ID31" i="2"/>
  <c r="IE31" i="2"/>
  <c r="IF31" i="2"/>
  <c r="IG31" i="2"/>
  <c r="IH31" i="2"/>
  <c r="II31" i="2"/>
  <c r="IB31" i="2"/>
  <c r="AC37" i="1"/>
  <c r="AC36" i="1"/>
  <c r="AC35" i="1"/>
  <c r="AC34" i="1"/>
  <c r="AC31" i="1"/>
  <c r="AC23" i="1"/>
  <c r="AC22" i="1"/>
  <c r="AC8" i="1"/>
  <c r="AC7" i="1"/>
  <c r="AC6" i="1"/>
  <c r="IS62" i="2"/>
  <c r="IR62" i="2"/>
  <c r="IQ62" i="2"/>
  <c r="IP62" i="2"/>
  <c r="IO62" i="2"/>
  <c r="IN62" i="2"/>
  <c r="IM62" i="2"/>
  <c r="IL62" i="2"/>
  <c r="IK62" i="2"/>
  <c r="IS60" i="2"/>
  <c r="IR60" i="2"/>
  <c r="IQ60" i="2"/>
  <c r="IP60" i="2"/>
  <c r="IO60" i="2"/>
  <c r="IN60" i="2"/>
  <c r="IM60" i="2"/>
  <c r="IL60" i="2"/>
  <c r="IK60" i="2"/>
  <c r="IS58" i="2"/>
  <c r="IR58" i="2"/>
  <c r="IQ58" i="2"/>
  <c r="IP58" i="2"/>
  <c r="IO58" i="2"/>
  <c r="IN58" i="2"/>
  <c r="IM58" i="2"/>
  <c r="IL58" i="2"/>
  <c r="IK58" i="2"/>
  <c r="IS56" i="2"/>
  <c r="IR56" i="2"/>
  <c r="IQ56" i="2"/>
  <c r="IP56" i="2"/>
  <c r="IO56" i="2"/>
  <c r="IN56" i="2"/>
  <c r="IM56" i="2"/>
  <c r="IL56" i="2"/>
  <c r="IK56" i="2"/>
  <c r="IS54" i="2"/>
  <c r="IR54" i="2"/>
  <c r="IQ54" i="2"/>
  <c r="IP54" i="2"/>
  <c r="IO54" i="2"/>
  <c r="IN54" i="2"/>
  <c r="IM54" i="2"/>
  <c r="IL54" i="2"/>
  <c r="IK54" i="2"/>
  <c r="IS52" i="2"/>
  <c r="IR52" i="2"/>
  <c r="IQ52" i="2"/>
  <c r="IP52" i="2"/>
  <c r="IO52" i="2"/>
  <c r="IN52" i="2"/>
  <c r="IM52" i="2"/>
  <c r="IL52" i="2"/>
  <c r="IK52" i="2"/>
  <c r="IS47" i="2"/>
  <c r="IR47" i="2"/>
  <c r="IQ47" i="2"/>
  <c r="IP47" i="2"/>
  <c r="IO47" i="2"/>
  <c r="IN47" i="2"/>
  <c r="IM47" i="2"/>
  <c r="IL47" i="2"/>
  <c r="IK47" i="2"/>
  <c r="IS38" i="2"/>
  <c r="IR38" i="2"/>
  <c r="IQ38" i="2"/>
  <c r="IP38" i="2"/>
  <c r="IO38" i="2"/>
  <c r="IN38" i="2"/>
  <c r="IM38" i="2"/>
  <c r="IL38" i="2"/>
  <c r="IK38" i="2"/>
  <c r="IS17" i="2"/>
  <c r="IR17" i="2"/>
  <c r="IQ17" i="2"/>
  <c r="IP17" i="2"/>
  <c r="IO17" i="2"/>
  <c r="IN17" i="2"/>
  <c r="IM17" i="2"/>
  <c r="IL17" i="2"/>
  <c r="IK17" i="2"/>
  <c r="HZ47" i="2"/>
  <c r="II47" i="2"/>
  <c r="HQ47" i="2"/>
  <c r="HZ17" i="2"/>
  <c r="HQ52" i="2"/>
  <c r="IA52" i="2"/>
  <c r="HS52" i="2"/>
  <c r="HR47" i="2"/>
  <c r="HP47" i="2"/>
  <c r="HO47" i="2"/>
  <c r="HN47" i="2"/>
  <c r="HM47" i="2"/>
  <c r="HL47" i="2"/>
  <c r="HK47" i="2"/>
  <c r="HJ47" i="2"/>
  <c r="HI47" i="2"/>
  <c r="HH47" i="2"/>
  <c r="HG47" i="2"/>
  <c r="HF47" i="2"/>
  <c r="HE47" i="2"/>
  <c r="HD47" i="2"/>
  <c r="HC47" i="2"/>
  <c r="HB47" i="2"/>
  <c r="HA47" i="2"/>
  <c r="GZ47" i="2"/>
  <c r="GY47" i="2"/>
  <c r="GX47" i="2"/>
  <c r="GW47" i="2"/>
  <c r="GV47" i="2"/>
  <c r="GU47" i="2"/>
  <c r="GT47" i="2"/>
  <c r="GS47" i="2"/>
  <c r="GR47" i="2"/>
  <c r="GQ47" i="2"/>
  <c r="GP47" i="2"/>
  <c r="GO47" i="2"/>
  <c r="GN47" i="2"/>
  <c r="GM47" i="2"/>
  <c r="GL47" i="2"/>
  <c r="GK47" i="2"/>
  <c r="GJ47" i="2"/>
  <c r="GI47" i="2"/>
  <c r="GH47" i="2"/>
  <c r="GG47" i="2"/>
  <c r="GF47" i="2"/>
  <c r="GE47" i="2"/>
  <c r="GD47" i="2"/>
  <c r="GC47" i="2"/>
  <c r="GB47" i="2"/>
  <c r="GA47" i="2"/>
  <c r="FZ47" i="2"/>
  <c r="FY47" i="2"/>
  <c r="FX47" i="2"/>
  <c r="FW47" i="2"/>
  <c r="FV47" i="2"/>
  <c r="FU47" i="2"/>
  <c r="FT47" i="2"/>
  <c r="FS47" i="2"/>
  <c r="FR47" i="2"/>
  <c r="FQ47" i="2"/>
  <c r="FP47" i="2"/>
  <c r="FO47" i="2"/>
  <c r="FN47" i="2"/>
  <c r="FM47" i="2"/>
  <c r="FL47" i="2"/>
  <c r="FK47" i="2"/>
  <c r="FJ47" i="2"/>
  <c r="FI47" i="2"/>
  <c r="FH47" i="2"/>
  <c r="FG47" i="2"/>
  <c r="FF47" i="2"/>
  <c r="FE47" i="2"/>
  <c r="FD47" i="2"/>
  <c r="FC47" i="2"/>
  <c r="FB47" i="2"/>
  <c r="FA47" i="2"/>
  <c r="EZ47" i="2"/>
  <c r="EY47" i="2"/>
  <c r="EX47" i="2"/>
  <c r="EW47" i="2"/>
  <c r="EV47" i="2"/>
  <c r="EU47" i="2"/>
  <c r="ET47" i="2"/>
  <c r="ES47" i="2"/>
  <c r="ER47" i="2"/>
  <c r="EQ47" i="2"/>
  <c r="EP47" i="2"/>
  <c r="EO47" i="2"/>
  <c r="EN47" i="2"/>
  <c r="EM47" i="2"/>
  <c r="EL47" i="2"/>
  <c r="EK47" i="2"/>
  <c r="EJ47" i="2"/>
  <c r="EI47" i="2"/>
  <c r="EH47" i="2"/>
  <c r="EG47" i="2"/>
  <c r="EF47" i="2"/>
  <c r="EE47" i="2"/>
  <c r="ED47" i="2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IJ47" i="2"/>
  <c r="IH47" i="2"/>
  <c r="IG47" i="2"/>
  <c r="IF47" i="2"/>
  <c r="IE47" i="2"/>
  <c r="ID47" i="2"/>
  <c r="IC47" i="2"/>
  <c r="IB47" i="2"/>
  <c r="IA47" i="2"/>
  <c r="HT47" i="2"/>
  <c r="HU47" i="2"/>
  <c r="HV47" i="2"/>
  <c r="HW47" i="2"/>
  <c r="HX47" i="2"/>
  <c r="HY47" i="2"/>
  <c r="HS47" i="2"/>
  <c r="IA38" i="2"/>
  <c r="HS38" i="2"/>
  <c r="HT38" i="2"/>
  <c r="B17" i="2"/>
  <c r="J38" i="2"/>
  <c r="B38" i="2"/>
  <c r="IJ17" i="2"/>
  <c r="II17" i="2"/>
  <c r="IH17" i="2"/>
  <c r="IG17" i="2"/>
  <c r="IF17" i="2"/>
  <c r="IE17" i="2"/>
  <c r="ID17" i="2"/>
  <c r="IC17" i="2"/>
  <c r="IB17" i="2"/>
  <c r="IA17" i="2"/>
  <c r="HY17" i="2"/>
  <c r="HX17" i="2"/>
  <c r="HW17" i="2"/>
  <c r="HV17" i="2"/>
  <c r="HU17" i="2"/>
  <c r="HT17" i="2"/>
  <c r="HS17" i="2"/>
  <c r="HR17" i="2"/>
  <c r="HQ17" i="2"/>
  <c r="HP17" i="2"/>
  <c r="HO17" i="2"/>
  <c r="HN17" i="2"/>
  <c r="HM17" i="2"/>
  <c r="HL17" i="2"/>
  <c r="HK17" i="2"/>
  <c r="HJ17" i="2"/>
  <c r="HI17" i="2"/>
  <c r="HH17" i="2"/>
  <c r="HG17" i="2"/>
  <c r="HF17" i="2"/>
  <c r="HE17" i="2"/>
  <c r="HD17" i="2"/>
  <c r="HC17" i="2"/>
  <c r="HB17" i="2"/>
  <c r="HA17" i="2"/>
  <c r="GZ17" i="2"/>
  <c r="GY17" i="2"/>
  <c r="GX17" i="2"/>
  <c r="GW17" i="2"/>
  <c r="GV17" i="2"/>
  <c r="GU17" i="2"/>
  <c r="GT17" i="2"/>
  <c r="GS17" i="2"/>
  <c r="GR17" i="2"/>
  <c r="GQ17" i="2"/>
  <c r="GP17" i="2"/>
  <c r="GO17" i="2"/>
  <c r="GN17" i="2"/>
  <c r="GM17" i="2"/>
  <c r="GL17" i="2"/>
  <c r="GK17" i="2"/>
  <c r="GJ17" i="2"/>
  <c r="GI17" i="2"/>
  <c r="GH17" i="2"/>
  <c r="GG17" i="2"/>
  <c r="GF17" i="2"/>
  <c r="GE17" i="2"/>
  <c r="GD17" i="2"/>
  <c r="GC17" i="2"/>
  <c r="GB17" i="2"/>
  <c r="GA17" i="2"/>
  <c r="FZ17" i="2"/>
  <c r="FY17" i="2"/>
  <c r="FX17" i="2"/>
  <c r="FW17" i="2"/>
  <c r="FV17" i="2"/>
  <c r="FU17" i="2"/>
  <c r="FT17" i="2"/>
  <c r="FS17" i="2"/>
  <c r="FR17" i="2"/>
  <c r="FQ17" i="2"/>
  <c r="FP17" i="2"/>
  <c r="FO17" i="2"/>
  <c r="FN17" i="2"/>
  <c r="FM17" i="2"/>
  <c r="FL17" i="2"/>
  <c r="FK17" i="2"/>
  <c r="FJ17" i="2"/>
  <c r="FI17" i="2"/>
  <c r="FH17" i="2"/>
  <c r="FG17" i="2"/>
  <c r="FF17" i="2"/>
  <c r="FE17" i="2"/>
  <c r="FD17" i="2"/>
  <c r="FC17" i="2"/>
  <c r="FB17" i="2"/>
  <c r="FA17" i="2"/>
  <c r="EZ17" i="2"/>
  <c r="EY17" i="2"/>
  <c r="EX17" i="2"/>
  <c r="EW17" i="2"/>
  <c r="EV17" i="2"/>
  <c r="EU17" i="2"/>
  <c r="ET17" i="2"/>
  <c r="ES17" i="2"/>
  <c r="ER17" i="2"/>
  <c r="EQ17" i="2"/>
  <c r="EP17" i="2"/>
  <c r="EO17" i="2"/>
  <c r="EN17" i="2"/>
  <c r="EM17" i="2"/>
  <c r="EL17" i="2"/>
  <c r="EK17" i="2"/>
  <c r="EJ17" i="2"/>
  <c r="EI17" i="2"/>
  <c r="EH17" i="2"/>
  <c r="EG17" i="2"/>
  <c r="EF17" i="2"/>
  <c r="EE17" i="2"/>
  <c r="ED17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G17" i="2"/>
  <c r="BF17" i="2"/>
  <c r="BE17" i="2"/>
  <c r="BC17" i="2"/>
  <c r="BB17" i="2"/>
  <c r="BA17" i="2"/>
  <c r="AZ17" i="2"/>
  <c r="AX17" i="2"/>
  <c r="AW17" i="2"/>
  <c r="AV17" i="2"/>
  <c r="AU17" i="2"/>
  <c r="AP17" i="2"/>
  <c r="AN17" i="2"/>
  <c r="AK17" i="2"/>
  <c r="AJ17" i="2"/>
  <c r="AI17" i="2"/>
  <c r="AF17" i="2"/>
  <c r="AE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C17" i="2"/>
  <c r="D17" i="2"/>
  <c r="E17" i="2"/>
  <c r="F17" i="2"/>
  <c r="G17" i="2"/>
  <c r="H17" i="2"/>
  <c r="I17" i="2"/>
  <c r="AB37" i="1"/>
  <c r="AB36" i="1"/>
  <c r="AB35" i="1"/>
  <c r="AB34" i="1"/>
  <c r="AB31" i="1"/>
  <c r="AB23" i="1"/>
  <c r="AB22" i="1"/>
  <c r="AB8" i="1"/>
  <c r="AB7" i="1"/>
  <c r="AB6" i="1"/>
  <c r="IJ62" i="2"/>
  <c r="II62" i="2"/>
  <c r="IH62" i="2"/>
  <c r="IG62" i="2"/>
  <c r="IF62" i="2"/>
  <c r="IE62" i="2"/>
  <c r="ID62" i="2"/>
  <c r="IC62" i="2"/>
  <c r="IB62" i="2"/>
  <c r="IJ60" i="2"/>
  <c r="II60" i="2"/>
  <c r="IH60" i="2"/>
  <c r="IG60" i="2"/>
  <c r="IF60" i="2"/>
  <c r="IE60" i="2"/>
  <c r="ID60" i="2"/>
  <c r="IC60" i="2"/>
  <c r="IB60" i="2"/>
  <c r="IJ58" i="2"/>
  <c r="II58" i="2"/>
  <c r="IH58" i="2"/>
  <c r="IG58" i="2"/>
  <c r="IF58" i="2"/>
  <c r="IE58" i="2"/>
  <c r="ID58" i="2"/>
  <c r="IC58" i="2"/>
  <c r="IB58" i="2"/>
  <c r="IJ56" i="2"/>
  <c r="II56" i="2"/>
  <c r="IH56" i="2"/>
  <c r="IG56" i="2"/>
  <c r="IF56" i="2"/>
  <c r="IE56" i="2"/>
  <c r="ID56" i="2"/>
  <c r="IC56" i="2"/>
  <c r="IB56" i="2"/>
  <c r="IJ54" i="2"/>
  <c r="II54" i="2"/>
  <c r="IH54" i="2"/>
  <c r="IG54" i="2"/>
  <c r="IF54" i="2"/>
  <c r="IE54" i="2"/>
  <c r="ID54" i="2"/>
  <c r="IC54" i="2"/>
  <c r="IB54" i="2"/>
  <c r="IJ52" i="2"/>
  <c r="II52" i="2"/>
  <c r="IH52" i="2"/>
  <c r="IG52" i="2"/>
  <c r="IF52" i="2"/>
  <c r="IE52" i="2"/>
  <c r="ID52" i="2"/>
  <c r="IC52" i="2"/>
  <c r="IB52" i="2"/>
  <c r="IJ38" i="2"/>
  <c r="II38" i="2"/>
  <c r="IH38" i="2"/>
  <c r="IG38" i="2"/>
  <c r="IF38" i="2"/>
  <c r="IE38" i="2"/>
  <c r="ID38" i="2"/>
  <c r="IC38" i="2"/>
  <c r="IB38" i="2"/>
  <c r="AA37" i="1"/>
  <c r="AA36" i="1"/>
  <c r="AA35" i="1"/>
  <c r="AA34" i="1"/>
  <c r="AA31" i="1"/>
  <c r="AA23" i="1"/>
  <c r="AA22" i="1"/>
  <c r="AA8" i="1"/>
  <c r="AA7" i="1"/>
  <c r="AA6" i="1"/>
  <c r="IA62" i="2"/>
  <c r="HZ62" i="2"/>
  <c r="HY62" i="2"/>
  <c r="HX62" i="2"/>
  <c r="HW62" i="2"/>
  <c r="HV62" i="2"/>
  <c r="HU62" i="2"/>
  <c r="HT62" i="2"/>
  <c r="HS62" i="2"/>
  <c r="IA60" i="2"/>
  <c r="HZ60" i="2"/>
  <c r="HY60" i="2"/>
  <c r="HX60" i="2"/>
  <c r="HW60" i="2"/>
  <c r="HV60" i="2"/>
  <c r="HU60" i="2"/>
  <c r="HT60" i="2"/>
  <c r="HS60" i="2"/>
  <c r="IA58" i="2"/>
  <c r="HZ58" i="2"/>
  <c r="HY58" i="2"/>
  <c r="HX58" i="2"/>
  <c r="HW58" i="2"/>
  <c r="HV58" i="2"/>
  <c r="HU58" i="2"/>
  <c r="HT58" i="2"/>
  <c r="HS58" i="2"/>
  <c r="IA56" i="2"/>
  <c r="HZ56" i="2"/>
  <c r="HY56" i="2"/>
  <c r="HX56" i="2"/>
  <c r="HW56" i="2"/>
  <c r="HV56" i="2"/>
  <c r="HU56" i="2"/>
  <c r="HT56" i="2"/>
  <c r="HS56" i="2"/>
  <c r="IA54" i="2"/>
  <c r="HZ54" i="2"/>
  <c r="HY54" i="2"/>
  <c r="HX54" i="2"/>
  <c r="HW54" i="2"/>
  <c r="HV54" i="2"/>
  <c r="HU54" i="2"/>
  <c r="HT54" i="2"/>
  <c r="HS54" i="2"/>
  <c r="HZ52" i="2"/>
  <c r="HY52" i="2"/>
  <c r="HX52" i="2"/>
  <c r="HW52" i="2"/>
  <c r="HV52" i="2"/>
  <c r="HU52" i="2"/>
  <c r="HT52" i="2"/>
  <c r="HZ38" i="2"/>
  <c r="HY38" i="2"/>
  <c r="HX38" i="2"/>
  <c r="HW38" i="2"/>
  <c r="HV38" i="2"/>
  <c r="HU38" i="2"/>
  <c r="Y7" i="1"/>
  <c r="Y6" i="1"/>
  <c r="HR62" i="2"/>
  <c r="HQ62" i="2"/>
  <c r="HP62" i="2"/>
  <c r="HO62" i="2"/>
  <c r="HN62" i="2"/>
  <c r="HM62" i="2"/>
  <c r="HL62" i="2"/>
  <c r="HK62" i="2"/>
  <c r="HJ62" i="2"/>
  <c r="HR60" i="2"/>
  <c r="HQ60" i="2"/>
  <c r="HP60" i="2"/>
  <c r="HO60" i="2"/>
  <c r="HN60" i="2"/>
  <c r="HM60" i="2"/>
  <c r="HL60" i="2"/>
  <c r="HK60" i="2"/>
  <c r="HJ60" i="2"/>
  <c r="HR58" i="2"/>
  <c r="HQ58" i="2"/>
  <c r="HP58" i="2"/>
  <c r="HO58" i="2"/>
  <c r="HN58" i="2"/>
  <c r="HM58" i="2"/>
  <c r="HL58" i="2"/>
  <c r="HK58" i="2"/>
  <c r="HJ58" i="2"/>
  <c r="HR56" i="2"/>
  <c r="HQ56" i="2"/>
  <c r="HP56" i="2"/>
  <c r="HO56" i="2"/>
  <c r="HN56" i="2"/>
  <c r="HM56" i="2"/>
  <c r="HL56" i="2"/>
  <c r="HK56" i="2"/>
  <c r="HJ56" i="2"/>
  <c r="HR54" i="2"/>
  <c r="HQ54" i="2"/>
  <c r="HP54" i="2"/>
  <c r="HO54" i="2"/>
  <c r="HN54" i="2"/>
  <c r="HM54" i="2"/>
  <c r="HL54" i="2"/>
  <c r="HK54" i="2"/>
  <c r="HJ54" i="2"/>
  <c r="HR52" i="2"/>
  <c r="HP52" i="2"/>
  <c r="HO52" i="2"/>
  <c r="HN52" i="2"/>
  <c r="HM52" i="2"/>
  <c r="HL52" i="2"/>
  <c r="HK52" i="2"/>
  <c r="HJ52" i="2"/>
  <c r="HR38" i="2"/>
  <c r="HQ38" i="2"/>
  <c r="HP38" i="2"/>
  <c r="HO38" i="2"/>
  <c r="HN38" i="2"/>
  <c r="HM38" i="2"/>
  <c r="HL38" i="2"/>
  <c r="HK38" i="2"/>
  <c r="HJ38" i="2"/>
  <c r="Z37" i="1"/>
  <c r="Z36" i="1"/>
  <c r="Z35" i="1"/>
  <c r="Z34" i="1"/>
  <c r="Z31" i="1"/>
  <c r="Z23" i="1"/>
  <c r="Z22" i="1"/>
  <c r="Z8" i="1"/>
  <c r="Z7" i="1"/>
  <c r="Z6" i="1"/>
  <c r="AP10" i="1" l="1"/>
  <c r="AT27" i="1"/>
  <c r="AO27" i="1"/>
  <c r="NF63" i="2"/>
  <c r="OG63" i="2"/>
  <c r="AK9" i="1"/>
  <c r="OY63" i="2"/>
  <c r="AH9" i="1"/>
  <c r="MW63" i="2"/>
  <c r="AC9" i="1"/>
  <c r="AE9" i="1"/>
  <c r="MN63" i="2"/>
  <c r="AN10" i="1"/>
  <c r="NO63" i="2"/>
  <c r="HJ63" i="2"/>
  <c r="HN63" i="2"/>
  <c r="KB63" i="2"/>
  <c r="AM9" i="1"/>
  <c r="Z9" i="1"/>
  <c r="AB9" i="1"/>
  <c r="AB10" i="1" s="1"/>
  <c r="AF9" i="1"/>
  <c r="MD63" i="2"/>
  <c r="MC63" i="2"/>
  <c r="MB63" i="2"/>
  <c r="MA63" i="2"/>
  <c r="LZ63" i="2"/>
  <c r="LY63" i="2"/>
  <c r="LX63" i="2"/>
  <c r="LW63" i="2"/>
  <c r="LU63" i="2"/>
  <c r="LT63" i="2"/>
  <c r="LS63" i="2"/>
  <c r="LR63" i="2"/>
  <c r="LQ63" i="2"/>
  <c r="LP63" i="2"/>
  <c r="LO63" i="2"/>
  <c r="LN63" i="2"/>
  <c r="AL9" i="1"/>
  <c r="AL10" i="1" s="1"/>
  <c r="AM27" i="1"/>
  <c r="AM10" i="1"/>
  <c r="LL63" i="2"/>
  <c r="LK63" i="2"/>
  <c r="LJ63" i="2"/>
  <c r="LI63" i="2"/>
  <c r="LH63" i="2"/>
  <c r="LG63" i="2"/>
  <c r="LF63" i="2"/>
  <c r="LE63" i="2"/>
  <c r="AL27" i="1"/>
  <c r="LC63" i="2"/>
  <c r="LB63" i="2"/>
  <c r="LA63" i="2"/>
  <c r="KZ63" i="2"/>
  <c r="KY63" i="2"/>
  <c r="KX63" i="2"/>
  <c r="KW63" i="2"/>
  <c r="KV63" i="2"/>
  <c r="AJ9" i="1"/>
  <c r="AJ10" i="1" s="1"/>
  <c r="AK10" i="1"/>
  <c r="AK27" i="1"/>
  <c r="KT63" i="2"/>
  <c r="KS63" i="2"/>
  <c r="KR63" i="2"/>
  <c r="KQ63" i="2"/>
  <c r="KP63" i="2"/>
  <c r="KO63" i="2"/>
  <c r="KN63" i="2"/>
  <c r="KM63" i="2"/>
  <c r="AI9" i="1"/>
  <c r="AI27" i="1" s="1"/>
  <c r="AJ27" i="1"/>
  <c r="AI10" i="1"/>
  <c r="HP63" i="2"/>
  <c r="HL63" i="2"/>
  <c r="HX63" i="2"/>
  <c r="HV63" i="2"/>
  <c r="HT63" i="2"/>
  <c r="HK63" i="2"/>
  <c r="HM63" i="2"/>
  <c r="HO63" i="2"/>
  <c r="HQ63" i="2"/>
  <c r="HR63" i="2" s="1"/>
  <c r="KE63" i="2"/>
  <c r="KG63" i="2"/>
  <c r="KI63" i="2"/>
  <c r="KK63" i="2"/>
  <c r="KD63" i="2"/>
  <c r="KF63" i="2"/>
  <c r="KH63" i="2"/>
  <c r="KJ63" i="2"/>
  <c r="KA63" i="2"/>
  <c r="JZ63" i="2"/>
  <c r="JY63" i="2"/>
  <c r="JX63" i="2"/>
  <c r="JW63" i="2"/>
  <c r="JV63" i="2"/>
  <c r="JU63" i="2"/>
  <c r="AG9" i="1"/>
  <c r="AG27" i="1" s="1"/>
  <c r="AH10" i="1"/>
  <c r="AH27" i="1"/>
  <c r="JS63" i="2"/>
  <c r="JR63" i="2"/>
  <c r="JQ63" i="2"/>
  <c r="JP63" i="2"/>
  <c r="JO63" i="2"/>
  <c r="JN63" i="2"/>
  <c r="JM63" i="2"/>
  <c r="JL63" i="2"/>
  <c r="AG10" i="1"/>
  <c r="JJ63" i="2"/>
  <c r="JI63" i="2"/>
  <c r="JH63" i="2"/>
  <c r="JG63" i="2"/>
  <c r="JF63" i="2"/>
  <c r="JE63" i="2"/>
  <c r="JD63" i="2"/>
  <c r="JC63" i="2"/>
  <c r="AF27" i="1"/>
  <c r="AF10" i="1"/>
  <c r="JA63" i="2"/>
  <c r="IZ63" i="2"/>
  <c r="IY63" i="2"/>
  <c r="IX63" i="2"/>
  <c r="IW63" i="2"/>
  <c r="IU63" i="2"/>
  <c r="IV63" i="2"/>
  <c r="IT63" i="2"/>
  <c r="AD9" i="1"/>
  <c r="AD27" i="1" s="1"/>
  <c r="AE27" i="1"/>
  <c r="AE10" i="1"/>
  <c r="IR63" i="2"/>
  <c r="IP63" i="2"/>
  <c r="IN63" i="2"/>
  <c r="IL63" i="2"/>
  <c r="IG63" i="2"/>
  <c r="IE63" i="2"/>
  <c r="IK63" i="2"/>
  <c r="IM63" i="2"/>
  <c r="IO63" i="2"/>
  <c r="IQ63" i="2"/>
  <c r="II63" i="2"/>
  <c r="IH63" i="2"/>
  <c r="IF63" i="2"/>
  <c r="ID63" i="2"/>
  <c r="IC63" i="2"/>
  <c r="IB63" i="2"/>
  <c r="AC27" i="1"/>
  <c r="AC10" i="1"/>
  <c r="HY63" i="2"/>
  <c r="HW63" i="2"/>
  <c r="HU63" i="2"/>
  <c r="HZ63" i="2"/>
  <c r="HS63" i="2"/>
  <c r="AA9" i="1"/>
  <c r="AB27" i="1"/>
  <c r="Z27" i="1"/>
  <c r="Z10" i="1"/>
  <c r="AA10" i="1"/>
  <c r="AA27" i="1"/>
  <c r="Y37" i="1"/>
  <c r="Y36" i="1"/>
  <c r="Y35" i="1"/>
  <c r="Y34" i="1"/>
  <c r="Y31" i="1"/>
  <c r="Y23" i="1"/>
  <c r="Y22" i="1"/>
  <c r="Y8" i="1"/>
  <c r="Y9" i="1" s="1"/>
  <c r="HI62" i="2"/>
  <c r="HH62" i="2"/>
  <c r="HG62" i="2"/>
  <c r="HF62" i="2"/>
  <c r="HE62" i="2"/>
  <c r="HD62" i="2"/>
  <c r="HC62" i="2"/>
  <c r="HB62" i="2"/>
  <c r="HA62" i="2"/>
  <c r="HI60" i="2"/>
  <c r="HH60" i="2"/>
  <c r="HG60" i="2"/>
  <c r="HF60" i="2"/>
  <c r="HE60" i="2"/>
  <c r="HD60" i="2"/>
  <c r="HC60" i="2"/>
  <c r="HB60" i="2"/>
  <c r="HA60" i="2"/>
  <c r="HI58" i="2"/>
  <c r="HH58" i="2"/>
  <c r="HG58" i="2"/>
  <c r="HF58" i="2"/>
  <c r="HE58" i="2"/>
  <c r="HD58" i="2"/>
  <c r="HC58" i="2"/>
  <c r="HB58" i="2"/>
  <c r="HA58" i="2"/>
  <c r="HI56" i="2"/>
  <c r="HH56" i="2"/>
  <c r="HG56" i="2"/>
  <c r="HF56" i="2"/>
  <c r="HE56" i="2"/>
  <c r="HD56" i="2"/>
  <c r="HC56" i="2"/>
  <c r="HB56" i="2"/>
  <c r="HA56" i="2"/>
  <c r="HI54" i="2"/>
  <c r="HH54" i="2"/>
  <c r="HG54" i="2"/>
  <c r="HF54" i="2"/>
  <c r="HE54" i="2"/>
  <c r="HD54" i="2"/>
  <c r="HC54" i="2"/>
  <c r="HB54" i="2"/>
  <c r="HA54" i="2"/>
  <c r="HI52" i="2"/>
  <c r="HH52" i="2"/>
  <c r="HG52" i="2"/>
  <c r="HF52" i="2"/>
  <c r="HE52" i="2"/>
  <c r="HD52" i="2"/>
  <c r="HC52" i="2"/>
  <c r="HB52" i="2"/>
  <c r="HA52" i="2"/>
  <c r="HI38" i="2"/>
  <c r="HH38" i="2"/>
  <c r="HG38" i="2"/>
  <c r="HF38" i="2"/>
  <c r="HE38" i="2"/>
  <c r="HD38" i="2"/>
  <c r="HC38" i="2"/>
  <c r="HB38" i="2"/>
  <c r="HA38" i="2"/>
  <c r="X37" i="1"/>
  <c r="X36" i="1"/>
  <c r="X35" i="1"/>
  <c r="X34" i="1"/>
  <c r="X31" i="1"/>
  <c r="X23" i="1"/>
  <c r="X22" i="1"/>
  <c r="X8" i="1"/>
  <c r="X7" i="1"/>
  <c r="X6" i="1"/>
  <c r="GZ62" i="2"/>
  <c r="GY62" i="2"/>
  <c r="GX62" i="2"/>
  <c r="GW62" i="2"/>
  <c r="GV62" i="2"/>
  <c r="GU62" i="2"/>
  <c r="GT62" i="2"/>
  <c r="GS62" i="2"/>
  <c r="GR62" i="2"/>
  <c r="GZ60" i="2"/>
  <c r="GY60" i="2"/>
  <c r="GX60" i="2"/>
  <c r="GW60" i="2"/>
  <c r="GV60" i="2"/>
  <c r="GU60" i="2"/>
  <c r="GT60" i="2"/>
  <c r="GS60" i="2"/>
  <c r="GR60" i="2"/>
  <c r="GZ58" i="2"/>
  <c r="GY58" i="2"/>
  <c r="GX58" i="2"/>
  <c r="GW58" i="2"/>
  <c r="GV58" i="2"/>
  <c r="GU58" i="2"/>
  <c r="GT58" i="2"/>
  <c r="GS58" i="2"/>
  <c r="GR58" i="2"/>
  <c r="GZ56" i="2"/>
  <c r="GY56" i="2"/>
  <c r="GX56" i="2"/>
  <c r="GW56" i="2"/>
  <c r="GV56" i="2"/>
  <c r="GU56" i="2"/>
  <c r="GT56" i="2"/>
  <c r="GS56" i="2"/>
  <c r="GR56" i="2"/>
  <c r="GZ54" i="2"/>
  <c r="GY54" i="2"/>
  <c r="GX54" i="2"/>
  <c r="GW54" i="2"/>
  <c r="GV54" i="2"/>
  <c r="GU54" i="2"/>
  <c r="GT54" i="2"/>
  <c r="GS54" i="2"/>
  <c r="GR54" i="2"/>
  <c r="GZ52" i="2"/>
  <c r="GY52" i="2"/>
  <c r="GX52" i="2"/>
  <c r="GW52" i="2"/>
  <c r="GV52" i="2"/>
  <c r="GU52" i="2"/>
  <c r="GT52" i="2"/>
  <c r="GS52" i="2"/>
  <c r="GR52" i="2"/>
  <c r="GZ38" i="2"/>
  <c r="GY38" i="2"/>
  <c r="GX38" i="2"/>
  <c r="GW38" i="2"/>
  <c r="GV38" i="2"/>
  <c r="GU38" i="2"/>
  <c r="GT38" i="2"/>
  <c r="GS38" i="2"/>
  <c r="GR38" i="2"/>
  <c r="GQ62" i="2"/>
  <c r="GP62" i="2"/>
  <c r="GO62" i="2"/>
  <c r="GN62" i="2"/>
  <c r="GM62" i="2"/>
  <c r="GL62" i="2"/>
  <c r="GK62" i="2"/>
  <c r="GJ62" i="2"/>
  <c r="GI62" i="2"/>
  <c r="GQ60" i="2"/>
  <c r="GP60" i="2"/>
  <c r="GO60" i="2"/>
  <c r="GN60" i="2"/>
  <c r="GM60" i="2"/>
  <c r="GL60" i="2"/>
  <c r="GK60" i="2"/>
  <c r="GJ60" i="2"/>
  <c r="GI60" i="2"/>
  <c r="GQ58" i="2"/>
  <c r="GP58" i="2"/>
  <c r="GO58" i="2"/>
  <c r="GN58" i="2"/>
  <c r="GM58" i="2"/>
  <c r="GL58" i="2"/>
  <c r="GK58" i="2"/>
  <c r="GJ58" i="2"/>
  <c r="GI58" i="2"/>
  <c r="GQ56" i="2"/>
  <c r="GP56" i="2"/>
  <c r="GO56" i="2"/>
  <c r="GN56" i="2"/>
  <c r="GM56" i="2"/>
  <c r="GL56" i="2"/>
  <c r="GK56" i="2"/>
  <c r="GJ56" i="2"/>
  <c r="GI56" i="2"/>
  <c r="GQ54" i="2"/>
  <c r="GP54" i="2"/>
  <c r="GO54" i="2"/>
  <c r="GN54" i="2"/>
  <c r="GM54" i="2"/>
  <c r="GL54" i="2"/>
  <c r="GK54" i="2"/>
  <c r="GJ54" i="2"/>
  <c r="GI54" i="2"/>
  <c r="GQ52" i="2"/>
  <c r="GP52" i="2"/>
  <c r="GO52" i="2"/>
  <c r="GN52" i="2"/>
  <c r="GM52" i="2"/>
  <c r="GL52" i="2"/>
  <c r="GK52" i="2"/>
  <c r="GJ52" i="2"/>
  <c r="GI52" i="2"/>
  <c r="GQ38" i="2"/>
  <c r="GP38" i="2"/>
  <c r="GO38" i="2"/>
  <c r="GN38" i="2"/>
  <c r="GM38" i="2"/>
  <c r="GL38" i="2"/>
  <c r="GK38" i="2"/>
  <c r="GJ38" i="2"/>
  <c r="GI38" i="2"/>
  <c r="W37" i="1"/>
  <c r="W36" i="1"/>
  <c r="W35" i="1"/>
  <c r="W34" i="1"/>
  <c r="W31" i="1"/>
  <c r="W23" i="1"/>
  <c r="W22" i="1"/>
  <c r="W8" i="1"/>
  <c r="W7" i="1"/>
  <c r="W6" i="1"/>
  <c r="FR52" i="2"/>
  <c r="V37" i="1"/>
  <c r="V36" i="1"/>
  <c r="V35" i="1"/>
  <c r="V34" i="1"/>
  <c r="V31" i="1"/>
  <c r="V23" i="1"/>
  <c r="V22" i="1"/>
  <c r="V8" i="1"/>
  <c r="V7" i="1"/>
  <c r="V6" i="1"/>
  <c r="GH62" i="2"/>
  <c r="GG62" i="2"/>
  <c r="GF62" i="2"/>
  <c r="GE62" i="2"/>
  <c r="GD62" i="2"/>
  <c r="GC62" i="2"/>
  <c r="GB62" i="2"/>
  <c r="GA62" i="2"/>
  <c r="FZ62" i="2"/>
  <c r="GH60" i="2"/>
  <c r="GG60" i="2"/>
  <c r="GF60" i="2"/>
  <c r="GE60" i="2"/>
  <c r="GD60" i="2"/>
  <c r="GC60" i="2"/>
  <c r="GB60" i="2"/>
  <c r="GA60" i="2"/>
  <c r="FZ60" i="2"/>
  <c r="GH58" i="2"/>
  <c r="GG58" i="2"/>
  <c r="GF58" i="2"/>
  <c r="GE58" i="2"/>
  <c r="GD58" i="2"/>
  <c r="GC58" i="2"/>
  <c r="GB58" i="2"/>
  <c r="GA58" i="2"/>
  <c r="FZ58" i="2"/>
  <c r="GH56" i="2"/>
  <c r="GG56" i="2"/>
  <c r="GF56" i="2"/>
  <c r="GE56" i="2"/>
  <c r="GD56" i="2"/>
  <c r="GC56" i="2"/>
  <c r="GB56" i="2"/>
  <c r="GA56" i="2"/>
  <c r="FZ56" i="2"/>
  <c r="GH54" i="2"/>
  <c r="GG54" i="2"/>
  <c r="GF54" i="2"/>
  <c r="GE54" i="2"/>
  <c r="GD54" i="2"/>
  <c r="GC54" i="2"/>
  <c r="GB54" i="2"/>
  <c r="GA54" i="2"/>
  <c r="FZ54" i="2"/>
  <c r="GH52" i="2"/>
  <c r="GG52" i="2"/>
  <c r="GF52" i="2"/>
  <c r="GE52" i="2"/>
  <c r="GD52" i="2"/>
  <c r="GC52" i="2"/>
  <c r="GB52" i="2"/>
  <c r="GA52" i="2"/>
  <c r="FZ52" i="2"/>
  <c r="GH38" i="2"/>
  <c r="GG38" i="2"/>
  <c r="GF38" i="2"/>
  <c r="GE38" i="2"/>
  <c r="GD38" i="2"/>
  <c r="GC38" i="2"/>
  <c r="GB38" i="2"/>
  <c r="GA38" i="2"/>
  <c r="FZ38" i="2"/>
  <c r="FY62" i="2"/>
  <c r="FX62" i="2"/>
  <c r="FW62" i="2"/>
  <c r="FV62" i="2"/>
  <c r="FU62" i="2"/>
  <c r="FT62" i="2"/>
  <c r="FS62" i="2"/>
  <c r="FR62" i="2"/>
  <c r="FQ62" i="2"/>
  <c r="FY60" i="2"/>
  <c r="FX60" i="2"/>
  <c r="FW60" i="2"/>
  <c r="FV60" i="2"/>
  <c r="FU60" i="2"/>
  <c r="FT60" i="2"/>
  <c r="FS60" i="2"/>
  <c r="FR60" i="2"/>
  <c r="FQ60" i="2"/>
  <c r="FY58" i="2"/>
  <c r="FX58" i="2"/>
  <c r="FW58" i="2"/>
  <c r="FV58" i="2"/>
  <c r="FU58" i="2"/>
  <c r="FT58" i="2"/>
  <c r="FS58" i="2"/>
  <c r="FR58" i="2"/>
  <c r="FQ58" i="2"/>
  <c r="FY56" i="2"/>
  <c r="FX56" i="2"/>
  <c r="FW56" i="2"/>
  <c r="FV56" i="2"/>
  <c r="FU56" i="2"/>
  <c r="FT56" i="2"/>
  <c r="FS56" i="2"/>
  <c r="FR56" i="2"/>
  <c r="FQ56" i="2"/>
  <c r="FY54" i="2"/>
  <c r="FX54" i="2"/>
  <c r="FW54" i="2"/>
  <c r="FV54" i="2"/>
  <c r="FU54" i="2"/>
  <c r="FT54" i="2"/>
  <c r="FS54" i="2"/>
  <c r="FR54" i="2"/>
  <c r="FQ54" i="2"/>
  <c r="FY52" i="2"/>
  <c r="FX52" i="2"/>
  <c r="FW52" i="2"/>
  <c r="FV52" i="2"/>
  <c r="FU52" i="2"/>
  <c r="FT52" i="2"/>
  <c r="FS52" i="2"/>
  <c r="FQ52" i="2"/>
  <c r="FY38" i="2"/>
  <c r="FX38" i="2"/>
  <c r="FW38" i="2"/>
  <c r="FV38" i="2"/>
  <c r="FU38" i="2"/>
  <c r="FT38" i="2"/>
  <c r="FS38" i="2"/>
  <c r="FR38" i="2"/>
  <c r="FQ38" i="2"/>
  <c r="U37" i="1"/>
  <c r="U36" i="1"/>
  <c r="U35" i="1"/>
  <c r="U34" i="1"/>
  <c r="U31" i="1"/>
  <c r="U23" i="1"/>
  <c r="U22" i="1"/>
  <c r="U8" i="1"/>
  <c r="U7" i="1"/>
  <c r="U6" i="1"/>
  <c r="T37" i="1"/>
  <c r="T36" i="1"/>
  <c r="T35" i="1"/>
  <c r="T34" i="1"/>
  <c r="T31" i="1"/>
  <c r="T23" i="1"/>
  <c r="T22" i="1"/>
  <c r="T8" i="1"/>
  <c r="T7" i="1"/>
  <c r="T6" i="1"/>
  <c r="FP62" i="2"/>
  <c r="FO62" i="2"/>
  <c r="FN62" i="2"/>
  <c r="FM62" i="2"/>
  <c r="FL62" i="2"/>
  <c r="FK62" i="2"/>
  <c r="FJ62" i="2"/>
  <c r="FI62" i="2"/>
  <c r="FH62" i="2"/>
  <c r="FP60" i="2"/>
  <c r="FO60" i="2"/>
  <c r="FN60" i="2"/>
  <c r="FM60" i="2"/>
  <c r="FL60" i="2"/>
  <c r="FK60" i="2"/>
  <c r="FJ60" i="2"/>
  <c r="FI60" i="2"/>
  <c r="FH60" i="2"/>
  <c r="FP58" i="2"/>
  <c r="FO58" i="2"/>
  <c r="FN58" i="2"/>
  <c r="FM58" i="2"/>
  <c r="FL58" i="2"/>
  <c r="FK58" i="2"/>
  <c r="FJ58" i="2"/>
  <c r="FI58" i="2"/>
  <c r="FH58" i="2"/>
  <c r="FP56" i="2"/>
  <c r="FO56" i="2"/>
  <c r="FN56" i="2"/>
  <c r="FM56" i="2"/>
  <c r="FL56" i="2"/>
  <c r="FK56" i="2"/>
  <c r="FJ56" i="2"/>
  <c r="FI56" i="2"/>
  <c r="FH56" i="2"/>
  <c r="FP54" i="2"/>
  <c r="FO54" i="2"/>
  <c r="FN54" i="2"/>
  <c r="FM54" i="2"/>
  <c r="FL54" i="2"/>
  <c r="FK54" i="2"/>
  <c r="FJ54" i="2"/>
  <c r="FI54" i="2"/>
  <c r="FH54" i="2"/>
  <c r="FP52" i="2"/>
  <c r="FO52" i="2"/>
  <c r="FN52" i="2"/>
  <c r="FM52" i="2"/>
  <c r="FL52" i="2"/>
  <c r="FK52" i="2"/>
  <c r="FJ52" i="2"/>
  <c r="FI52" i="2"/>
  <c r="FH52" i="2"/>
  <c r="FP38" i="2"/>
  <c r="FO38" i="2"/>
  <c r="FN38" i="2"/>
  <c r="FM38" i="2"/>
  <c r="FL38" i="2"/>
  <c r="FK38" i="2"/>
  <c r="FJ38" i="2"/>
  <c r="FI38" i="2"/>
  <c r="FH38" i="2"/>
  <c r="FG62" i="2"/>
  <c r="FF62" i="2"/>
  <c r="FE62" i="2"/>
  <c r="FD62" i="2"/>
  <c r="FC62" i="2"/>
  <c r="FB62" i="2"/>
  <c r="FA62" i="2"/>
  <c r="EZ62" i="2"/>
  <c r="EY62" i="2"/>
  <c r="FG60" i="2"/>
  <c r="FF60" i="2"/>
  <c r="FE60" i="2"/>
  <c r="FD60" i="2"/>
  <c r="FC60" i="2"/>
  <c r="FB60" i="2"/>
  <c r="FA60" i="2"/>
  <c r="EZ60" i="2"/>
  <c r="EY60" i="2"/>
  <c r="FG58" i="2"/>
  <c r="FF58" i="2"/>
  <c r="FE58" i="2"/>
  <c r="FD58" i="2"/>
  <c r="FC58" i="2"/>
  <c r="FB58" i="2"/>
  <c r="FA58" i="2"/>
  <c r="EZ58" i="2"/>
  <c r="EY58" i="2"/>
  <c r="FG56" i="2"/>
  <c r="FF56" i="2"/>
  <c r="FE56" i="2"/>
  <c r="FD56" i="2"/>
  <c r="FC56" i="2"/>
  <c r="FB56" i="2"/>
  <c r="FA56" i="2"/>
  <c r="EZ56" i="2"/>
  <c r="EY56" i="2"/>
  <c r="FG54" i="2"/>
  <c r="FF54" i="2"/>
  <c r="FE54" i="2"/>
  <c r="FD54" i="2"/>
  <c r="FC54" i="2"/>
  <c r="FB54" i="2"/>
  <c r="FA54" i="2"/>
  <c r="EZ54" i="2"/>
  <c r="EY54" i="2"/>
  <c r="FG52" i="2"/>
  <c r="FF52" i="2"/>
  <c r="FE52" i="2"/>
  <c r="FD52" i="2"/>
  <c r="FC52" i="2"/>
  <c r="FB52" i="2"/>
  <c r="FA52" i="2"/>
  <c r="EZ52" i="2"/>
  <c r="EY52" i="2"/>
  <c r="FG38" i="2"/>
  <c r="FF38" i="2"/>
  <c r="FE38" i="2"/>
  <c r="FD38" i="2"/>
  <c r="FC38" i="2"/>
  <c r="FB38" i="2"/>
  <c r="FA38" i="2"/>
  <c r="EZ38" i="2"/>
  <c r="EY38" i="2"/>
  <c r="S37" i="1"/>
  <c r="S36" i="1"/>
  <c r="S35" i="1"/>
  <c r="S34" i="1"/>
  <c r="S31" i="1"/>
  <c r="S23" i="1"/>
  <c r="S22" i="1"/>
  <c r="S8" i="1"/>
  <c r="S7" i="1"/>
  <c r="S6" i="1"/>
  <c r="EX62" i="2"/>
  <c r="EW62" i="2"/>
  <c r="EV62" i="2"/>
  <c r="EU62" i="2"/>
  <c r="ET62" i="2"/>
  <c r="ES62" i="2"/>
  <c r="ER62" i="2"/>
  <c r="EQ62" i="2"/>
  <c r="EP62" i="2"/>
  <c r="EX60" i="2"/>
  <c r="EW60" i="2"/>
  <c r="EV60" i="2"/>
  <c r="EU60" i="2"/>
  <c r="ET60" i="2"/>
  <c r="ES60" i="2"/>
  <c r="ER60" i="2"/>
  <c r="EQ60" i="2"/>
  <c r="EP60" i="2"/>
  <c r="EX58" i="2"/>
  <c r="EW58" i="2"/>
  <c r="EV58" i="2"/>
  <c r="EU58" i="2"/>
  <c r="ET58" i="2"/>
  <c r="ES58" i="2"/>
  <c r="ER58" i="2"/>
  <c r="EQ58" i="2"/>
  <c r="EP58" i="2"/>
  <c r="EX56" i="2"/>
  <c r="EW56" i="2"/>
  <c r="EV56" i="2"/>
  <c r="EU56" i="2"/>
  <c r="ET56" i="2"/>
  <c r="ES56" i="2"/>
  <c r="ER56" i="2"/>
  <c r="EQ56" i="2"/>
  <c r="EP56" i="2"/>
  <c r="EX54" i="2"/>
  <c r="EW54" i="2"/>
  <c r="EV54" i="2"/>
  <c r="EU54" i="2"/>
  <c r="ET54" i="2"/>
  <c r="ES54" i="2"/>
  <c r="ER54" i="2"/>
  <c r="EQ54" i="2"/>
  <c r="EP54" i="2"/>
  <c r="EX52" i="2"/>
  <c r="EW52" i="2"/>
  <c r="EV52" i="2"/>
  <c r="EU52" i="2"/>
  <c r="ET52" i="2"/>
  <c r="ES52" i="2"/>
  <c r="ER52" i="2"/>
  <c r="EQ52" i="2"/>
  <c r="EP52" i="2"/>
  <c r="EX38" i="2"/>
  <c r="EW38" i="2"/>
  <c r="EV38" i="2"/>
  <c r="EU38" i="2"/>
  <c r="ET38" i="2"/>
  <c r="ES38" i="2"/>
  <c r="ER38" i="2"/>
  <c r="EQ38" i="2"/>
  <c r="EP38" i="2"/>
  <c r="B19" i="1"/>
  <c r="C19" i="1"/>
  <c r="D19" i="1"/>
  <c r="E19" i="1"/>
  <c r="E18" i="1" s="1"/>
  <c r="E36" i="1" s="1"/>
  <c r="F19" i="1"/>
  <c r="F37" i="1" s="1"/>
  <c r="G19" i="1"/>
  <c r="G18" i="1" s="1"/>
  <c r="G36" i="1" s="1"/>
  <c r="H19" i="1"/>
  <c r="H18" i="1" s="1"/>
  <c r="H36" i="1" s="1"/>
  <c r="G37" i="1"/>
  <c r="I19" i="1"/>
  <c r="I18" i="1" s="1"/>
  <c r="I36" i="1" s="1"/>
  <c r="J19" i="1"/>
  <c r="J18" i="1" s="1"/>
  <c r="J36" i="1" s="1"/>
  <c r="K19" i="1"/>
  <c r="K18" i="1" s="1"/>
  <c r="K36" i="1" s="1"/>
  <c r="L19" i="1"/>
  <c r="L18" i="1" s="1"/>
  <c r="L36" i="1" s="1"/>
  <c r="M19" i="1"/>
  <c r="M18" i="1" s="1"/>
  <c r="M36" i="1" s="1"/>
  <c r="N19" i="1"/>
  <c r="N18" i="1" s="1"/>
  <c r="N36" i="1" s="1"/>
  <c r="O19" i="1"/>
  <c r="O18" i="1" s="1"/>
  <c r="O36" i="1" s="1"/>
  <c r="P19" i="1"/>
  <c r="P37" i="1" s="1"/>
  <c r="R37" i="1"/>
  <c r="R36" i="1"/>
  <c r="R35" i="1"/>
  <c r="R34" i="1"/>
  <c r="R31" i="1"/>
  <c r="R23" i="1"/>
  <c r="R22" i="1"/>
  <c r="R8" i="1"/>
  <c r="R7" i="1"/>
  <c r="R6" i="1"/>
  <c r="ED52" i="2"/>
  <c r="EO52" i="2"/>
  <c r="EN52" i="2"/>
  <c r="EM52" i="2"/>
  <c r="EL52" i="2"/>
  <c r="EK52" i="2"/>
  <c r="EJ52" i="2"/>
  <c r="EI52" i="2"/>
  <c r="EH52" i="2"/>
  <c r="EG52" i="2"/>
  <c r="EF52" i="2"/>
  <c r="DY52" i="2"/>
  <c r="DZ52" i="2"/>
  <c r="EA52" i="2"/>
  <c r="EB52" i="2"/>
  <c r="EC52" i="2"/>
  <c r="EE52" i="2"/>
  <c r="DX52" i="2"/>
  <c r="EO62" i="2"/>
  <c r="EN62" i="2"/>
  <c r="EM62" i="2"/>
  <c r="EL62" i="2"/>
  <c r="EK62" i="2"/>
  <c r="EJ62" i="2"/>
  <c r="EI62" i="2"/>
  <c r="EH62" i="2"/>
  <c r="EG62" i="2"/>
  <c r="EO60" i="2"/>
  <c r="EN60" i="2"/>
  <c r="EM60" i="2"/>
  <c r="EL60" i="2"/>
  <c r="EK60" i="2"/>
  <c r="EJ60" i="2"/>
  <c r="EI60" i="2"/>
  <c r="EH60" i="2"/>
  <c r="EG60" i="2"/>
  <c r="EO58" i="2"/>
  <c r="EN58" i="2"/>
  <c r="EM58" i="2"/>
  <c r="EL58" i="2"/>
  <c r="EK58" i="2"/>
  <c r="EJ58" i="2"/>
  <c r="EI58" i="2"/>
  <c r="EH58" i="2"/>
  <c r="EG58" i="2"/>
  <c r="EO56" i="2"/>
  <c r="EN56" i="2"/>
  <c r="EM56" i="2"/>
  <c r="EL56" i="2"/>
  <c r="EK56" i="2"/>
  <c r="EJ56" i="2"/>
  <c r="EI56" i="2"/>
  <c r="EH56" i="2"/>
  <c r="EG56" i="2"/>
  <c r="EO54" i="2"/>
  <c r="EN54" i="2"/>
  <c r="EM54" i="2"/>
  <c r="EL54" i="2"/>
  <c r="EK54" i="2"/>
  <c r="EJ54" i="2"/>
  <c r="EI54" i="2"/>
  <c r="EH54" i="2"/>
  <c r="EG54" i="2"/>
  <c r="EO38" i="2"/>
  <c r="EN38" i="2"/>
  <c r="EM38" i="2"/>
  <c r="EL38" i="2"/>
  <c r="EK38" i="2"/>
  <c r="EJ38" i="2"/>
  <c r="EI38" i="2"/>
  <c r="EH38" i="2"/>
  <c r="EG38" i="2"/>
  <c r="Q37" i="1"/>
  <c r="Q36" i="1"/>
  <c r="Q35" i="1"/>
  <c r="Q34" i="1"/>
  <c r="Q31" i="1"/>
  <c r="Q23" i="1"/>
  <c r="Q22" i="1"/>
  <c r="Q8" i="1"/>
  <c r="Q7" i="1"/>
  <c r="Q6" i="1"/>
  <c r="EF62" i="2"/>
  <c r="EE62" i="2"/>
  <c r="ED62" i="2"/>
  <c r="EC62" i="2"/>
  <c r="EB62" i="2"/>
  <c r="EA62" i="2"/>
  <c r="DZ62" i="2"/>
  <c r="DY62" i="2"/>
  <c r="DX62" i="2"/>
  <c r="EF60" i="2"/>
  <c r="EE60" i="2"/>
  <c r="ED60" i="2"/>
  <c r="EC60" i="2"/>
  <c r="EB60" i="2"/>
  <c r="EA60" i="2"/>
  <c r="DZ60" i="2"/>
  <c r="DY60" i="2"/>
  <c r="DX60" i="2"/>
  <c r="EF58" i="2"/>
  <c r="EE58" i="2"/>
  <c r="ED58" i="2"/>
  <c r="EC58" i="2"/>
  <c r="EB58" i="2"/>
  <c r="EA58" i="2"/>
  <c r="DZ58" i="2"/>
  <c r="DY58" i="2"/>
  <c r="DX58" i="2"/>
  <c r="EF56" i="2"/>
  <c r="EE56" i="2"/>
  <c r="ED56" i="2"/>
  <c r="EC56" i="2"/>
  <c r="EB56" i="2"/>
  <c r="EA56" i="2"/>
  <c r="DZ56" i="2"/>
  <c r="DY56" i="2"/>
  <c r="DX56" i="2"/>
  <c r="EF54" i="2"/>
  <c r="EE54" i="2"/>
  <c r="ED54" i="2"/>
  <c r="EC54" i="2"/>
  <c r="EB54" i="2"/>
  <c r="EA54" i="2"/>
  <c r="DZ54" i="2"/>
  <c r="DY54" i="2"/>
  <c r="DX54" i="2"/>
  <c r="EF38" i="2"/>
  <c r="EE38" i="2"/>
  <c r="ED38" i="2"/>
  <c r="EC38" i="2"/>
  <c r="EB38" i="2"/>
  <c r="EA38" i="2"/>
  <c r="DZ38" i="2"/>
  <c r="DY38" i="2"/>
  <c r="DX38" i="2"/>
  <c r="P35" i="1"/>
  <c r="P34" i="1"/>
  <c r="P31" i="1"/>
  <c r="P23" i="1"/>
  <c r="P22" i="1"/>
  <c r="P8" i="1"/>
  <c r="P7" i="1"/>
  <c r="P6" i="1"/>
  <c r="N26" i="1"/>
  <c r="O37" i="1"/>
  <c r="O35" i="1"/>
  <c r="O34" i="1"/>
  <c r="O31" i="1"/>
  <c r="O23" i="1"/>
  <c r="O22" i="1"/>
  <c r="O8" i="1"/>
  <c r="O7" i="1"/>
  <c r="O6" i="1"/>
  <c r="DW62" i="2"/>
  <c r="DV62" i="2"/>
  <c r="DU62" i="2"/>
  <c r="DT62" i="2"/>
  <c r="DS62" i="2"/>
  <c r="DR62" i="2"/>
  <c r="DQ62" i="2"/>
  <c r="DP62" i="2"/>
  <c r="DO62" i="2"/>
  <c r="DW60" i="2"/>
  <c r="DV60" i="2"/>
  <c r="DU60" i="2"/>
  <c r="DT60" i="2"/>
  <c r="DS60" i="2"/>
  <c r="DR60" i="2"/>
  <c r="DQ60" i="2"/>
  <c r="DP60" i="2"/>
  <c r="DO60" i="2"/>
  <c r="DW58" i="2"/>
  <c r="DV58" i="2"/>
  <c r="DU58" i="2"/>
  <c r="DT58" i="2"/>
  <c r="DS58" i="2"/>
  <c r="DR58" i="2"/>
  <c r="DQ58" i="2"/>
  <c r="DP58" i="2"/>
  <c r="DO58" i="2"/>
  <c r="DW56" i="2"/>
  <c r="DV56" i="2"/>
  <c r="DU56" i="2"/>
  <c r="DT56" i="2"/>
  <c r="DS56" i="2"/>
  <c r="DR56" i="2"/>
  <c r="DQ56" i="2"/>
  <c r="DP56" i="2"/>
  <c r="DO56" i="2"/>
  <c r="DW54" i="2"/>
  <c r="DV54" i="2"/>
  <c r="DU54" i="2"/>
  <c r="DT54" i="2"/>
  <c r="DS54" i="2"/>
  <c r="DR54" i="2"/>
  <c r="DQ54" i="2"/>
  <c r="DP54" i="2"/>
  <c r="DO54" i="2"/>
  <c r="DW52" i="2"/>
  <c r="DV52" i="2"/>
  <c r="DU52" i="2"/>
  <c r="DT52" i="2"/>
  <c r="DS52" i="2"/>
  <c r="DR52" i="2"/>
  <c r="DQ52" i="2"/>
  <c r="DP52" i="2"/>
  <c r="DO52" i="2"/>
  <c r="DW38" i="2"/>
  <c r="DV38" i="2"/>
  <c r="DU38" i="2"/>
  <c r="DT38" i="2"/>
  <c r="DS38" i="2"/>
  <c r="DR38" i="2"/>
  <c r="DQ38" i="2"/>
  <c r="DP38" i="2"/>
  <c r="DO38" i="2"/>
  <c r="DN62" i="2"/>
  <c r="DM62" i="2"/>
  <c r="DL62" i="2"/>
  <c r="DK62" i="2"/>
  <c r="DJ62" i="2"/>
  <c r="DI62" i="2"/>
  <c r="DH62" i="2"/>
  <c r="DG62" i="2"/>
  <c r="DF62" i="2"/>
  <c r="DN60" i="2"/>
  <c r="DM60" i="2"/>
  <c r="DL60" i="2"/>
  <c r="DK60" i="2"/>
  <c r="DJ60" i="2"/>
  <c r="DI60" i="2"/>
  <c r="DH60" i="2"/>
  <c r="DG60" i="2"/>
  <c r="DF60" i="2"/>
  <c r="DN58" i="2"/>
  <c r="DM58" i="2"/>
  <c r="DL58" i="2"/>
  <c r="DK58" i="2"/>
  <c r="DJ58" i="2"/>
  <c r="DI58" i="2"/>
  <c r="DH58" i="2"/>
  <c r="DG58" i="2"/>
  <c r="DF58" i="2"/>
  <c r="DN56" i="2"/>
  <c r="DM56" i="2"/>
  <c r="DL56" i="2"/>
  <c r="DK56" i="2"/>
  <c r="DJ56" i="2"/>
  <c r="DI56" i="2"/>
  <c r="DH56" i="2"/>
  <c r="DG56" i="2"/>
  <c r="DF56" i="2"/>
  <c r="DN54" i="2"/>
  <c r="DM54" i="2"/>
  <c r="DL54" i="2"/>
  <c r="DK54" i="2"/>
  <c r="DJ54" i="2"/>
  <c r="DI54" i="2"/>
  <c r="DH54" i="2"/>
  <c r="DG54" i="2"/>
  <c r="DF54" i="2"/>
  <c r="DN52" i="2"/>
  <c r="DM52" i="2"/>
  <c r="DL52" i="2"/>
  <c r="DK52" i="2"/>
  <c r="DJ52" i="2"/>
  <c r="DI52" i="2"/>
  <c r="DH52" i="2"/>
  <c r="DG52" i="2"/>
  <c r="DF52" i="2"/>
  <c r="DN38" i="2"/>
  <c r="DM38" i="2"/>
  <c r="DL38" i="2"/>
  <c r="DK38" i="2"/>
  <c r="DJ38" i="2"/>
  <c r="DI38" i="2"/>
  <c r="DH38" i="2"/>
  <c r="DG38" i="2"/>
  <c r="DF38" i="2"/>
  <c r="M26" i="1"/>
  <c r="M8" i="1" s="1"/>
  <c r="N37" i="1"/>
  <c r="N35" i="1"/>
  <c r="N34" i="1"/>
  <c r="N31" i="1"/>
  <c r="N23" i="1"/>
  <c r="N22" i="1"/>
  <c r="N8" i="1"/>
  <c r="N7" i="1"/>
  <c r="N6" i="1"/>
  <c r="L26" i="1"/>
  <c r="M37" i="1"/>
  <c r="M35" i="1"/>
  <c r="M34" i="1"/>
  <c r="M31" i="1"/>
  <c r="M23" i="1"/>
  <c r="M22" i="1"/>
  <c r="M7" i="1"/>
  <c r="M6" i="1"/>
  <c r="DE62" i="2"/>
  <c r="DD62" i="2"/>
  <c r="DC62" i="2"/>
  <c r="DB62" i="2"/>
  <c r="DA62" i="2"/>
  <c r="CZ62" i="2"/>
  <c r="CY62" i="2"/>
  <c r="CX62" i="2"/>
  <c r="CW62" i="2"/>
  <c r="DE60" i="2"/>
  <c r="DD60" i="2"/>
  <c r="DC60" i="2"/>
  <c r="DB60" i="2"/>
  <c r="DA60" i="2"/>
  <c r="CZ60" i="2"/>
  <c r="CY60" i="2"/>
  <c r="CX60" i="2"/>
  <c r="CW60" i="2"/>
  <c r="DE58" i="2"/>
  <c r="DD58" i="2"/>
  <c r="DC58" i="2"/>
  <c r="DB58" i="2"/>
  <c r="DA58" i="2"/>
  <c r="CZ58" i="2"/>
  <c r="CY58" i="2"/>
  <c r="CX58" i="2"/>
  <c r="CW58" i="2"/>
  <c r="DE56" i="2"/>
  <c r="DD56" i="2"/>
  <c r="DC56" i="2"/>
  <c r="DB56" i="2"/>
  <c r="DA56" i="2"/>
  <c r="CZ56" i="2"/>
  <c r="CY56" i="2"/>
  <c r="CX56" i="2"/>
  <c r="CW56" i="2"/>
  <c r="DE54" i="2"/>
  <c r="DD54" i="2"/>
  <c r="DC54" i="2"/>
  <c r="DB54" i="2"/>
  <c r="DA54" i="2"/>
  <c r="CZ54" i="2"/>
  <c r="CY54" i="2"/>
  <c r="CX54" i="2"/>
  <c r="CW54" i="2"/>
  <c r="DE52" i="2"/>
  <c r="DD52" i="2"/>
  <c r="DC52" i="2"/>
  <c r="DB52" i="2"/>
  <c r="DA52" i="2"/>
  <c r="CZ52" i="2"/>
  <c r="CY52" i="2"/>
  <c r="CX52" i="2"/>
  <c r="CW52" i="2"/>
  <c r="DE38" i="2"/>
  <c r="DD38" i="2"/>
  <c r="DC38" i="2"/>
  <c r="DB38" i="2"/>
  <c r="DA38" i="2"/>
  <c r="CZ38" i="2"/>
  <c r="CY38" i="2"/>
  <c r="CX38" i="2"/>
  <c r="CW38" i="2"/>
  <c r="CV52" i="2"/>
  <c r="CU52" i="2"/>
  <c r="CT52" i="2"/>
  <c r="CS52" i="2"/>
  <c r="CR52" i="2"/>
  <c r="CQ52" i="2"/>
  <c r="CP52" i="2"/>
  <c r="CO52" i="2"/>
  <c r="CN52" i="2"/>
  <c r="CM52" i="2"/>
  <c r="CF52" i="2"/>
  <c r="CG52" i="2"/>
  <c r="CH52" i="2"/>
  <c r="CI52" i="2"/>
  <c r="CJ52" i="2"/>
  <c r="CK52" i="2"/>
  <c r="CL52" i="2"/>
  <c r="CE52" i="2"/>
  <c r="CV62" i="2"/>
  <c r="CU62" i="2"/>
  <c r="CT62" i="2"/>
  <c r="CS62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CV60" i="2"/>
  <c r="CU60" i="2"/>
  <c r="CT60" i="2"/>
  <c r="CS60" i="2"/>
  <c r="CR60" i="2"/>
  <c r="CQ60" i="2"/>
  <c r="CP60" i="2"/>
  <c r="CO60" i="2"/>
  <c r="CN60" i="2"/>
  <c r="CV58" i="2"/>
  <c r="CU58" i="2"/>
  <c r="CT58" i="2"/>
  <c r="CS58" i="2"/>
  <c r="CR58" i="2"/>
  <c r="CQ58" i="2"/>
  <c r="CP58" i="2"/>
  <c r="CO58" i="2"/>
  <c r="CN58" i="2"/>
  <c r="CV56" i="2"/>
  <c r="CU56" i="2"/>
  <c r="CT56" i="2"/>
  <c r="CS56" i="2"/>
  <c r="CR56" i="2"/>
  <c r="CQ56" i="2"/>
  <c r="CP56" i="2"/>
  <c r="CO56" i="2"/>
  <c r="CN56" i="2"/>
  <c r="CV54" i="2"/>
  <c r="CU54" i="2"/>
  <c r="CT54" i="2"/>
  <c r="CS54" i="2"/>
  <c r="CR54" i="2"/>
  <c r="CQ54" i="2"/>
  <c r="CP54" i="2"/>
  <c r="CO54" i="2"/>
  <c r="CN54" i="2"/>
  <c r="CV38" i="2"/>
  <c r="CU38" i="2"/>
  <c r="CT38" i="2"/>
  <c r="CS38" i="2"/>
  <c r="CR38" i="2"/>
  <c r="CQ38" i="2"/>
  <c r="CP38" i="2"/>
  <c r="CO38" i="2"/>
  <c r="CN38" i="2"/>
  <c r="K26" i="1"/>
  <c r="L37" i="1"/>
  <c r="L35" i="1"/>
  <c r="L34" i="1"/>
  <c r="L31" i="1"/>
  <c r="L23" i="1"/>
  <c r="L22" i="1"/>
  <c r="L8" i="1"/>
  <c r="L7" i="1"/>
  <c r="L6" i="1"/>
  <c r="B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CM58" i="2"/>
  <c r="CL58" i="2"/>
  <c r="CK58" i="2"/>
  <c r="CJ58" i="2"/>
  <c r="CI58" i="2"/>
  <c r="CH58" i="2"/>
  <c r="CG58" i="2"/>
  <c r="CF58" i="2"/>
  <c r="CE58" i="2"/>
  <c r="CM56" i="2"/>
  <c r="CL56" i="2"/>
  <c r="CK56" i="2"/>
  <c r="CJ56" i="2"/>
  <c r="CI56" i="2"/>
  <c r="CH56" i="2"/>
  <c r="CG56" i="2"/>
  <c r="CF56" i="2"/>
  <c r="CE56" i="2"/>
  <c r="CM54" i="2"/>
  <c r="CL54" i="2"/>
  <c r="CK54" i="2"/>
  <c r="CJ54" i="2"/>
  <c r="CI54" i="2"/>
  <c r="CH54" i="2"/>
  <c r="CG54" i="2"/>
  <c r="CF54" i="2"/>
  <c r="CE54" i="2"/>
  <c r="CM38" i="2"/>
  <c r="CL38" i="2"/>
  <c r="CK38" i="2"/>
  <c r="CJ38" i="2"/>
  <c r="CI38" i="2"/>
  <c r="CH38" i="2"/>
  <c r="CG38" i="2"/>
  <c r="CF38" i="2"/>
  <c r="CE38" i="2"/>
  <c r="J26" i="1"/>
  <c r="J8" i="1" s="1"/>
  <c r="K37" i="1"/>
  <c r="K35" i="1"/>
  <c r="K34" i="1"/>
  <c r="K31" i="1"/>
  <c r="K23" i="1"/>
  <c r="K22" i="1"/>
  <c r="K8" i="1"/>
  <c r="K7" i="1"/>
  <c r="K6" i="1"/>
  <c r="I26" i="1"/>
  <c r="J37" i="1"/>
  <c r="J35" i="1"/>
  <c r="J34" i="1"/>
  <c r="J31" i="1"/>
  <c r="J23" i="1"/>
  <c r="J22" i="1"/>
  <c r="J7" i="1"/>
  <c r="J6" i="1"/>
  <c r="CD58" i="2"/>
  <c r="CC58" i="2"/>
  <c r="CB58" i="2"/>
  <c r="CA58" i="2"/>
  <c r="BZ58" i="2"/>
  <c r="BY58" i="2"/>
  <c r="BX58" i="2"/>
  <c r="BW58" i="2"/>
  <c r="BV58" i="2"/>
  <c r="CD56" i="2"/>
  <c r="CC56" i="2"/>
  <c r="CB56" i="2"/>
  <c r="CA56" i="2"/>
  <c r="BZ56" i="2"/>
  <c r="BY56" i="2"/>
  <c r="BX56" i="2"/>
  <c r="BW56" i="2"/>
  <c r="BV56" i="2"/>
  <c r="CD54" i="2"/>
  <c r="CC54" i="2"/>
  <c r="CB54" i="2"/>
  <c r="CA54" i="2"/>
  <c r="BZ54" i="2"/>
  <c r="BY54" i="2"/>
  <c r="BX54" i="2"/>
  <c r="BW54" i="2"/>
  <c r="BV54" i="2"/>
  <c r="CD52" i="2"/>
  <c r="CC52" i="2"/>
  <c r="CB52" i="2"/>
  <c r="CA52" i="2"/>
  <c r="BZ52" i="2"/>
  <c r="BY52" i="2"/>
  <c r="BX52" i="2"/>
  <c r="BW52" i="2"/>
  <c r="BV52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G38" i="2"/>
  <c r="BF38" i="2"/>
  <c r="BE38" i="2"/>
  <c r="BC38" i="2"/>
  <c r="BB38" i="2"/>
  <c r="BA38" i="2"/>
  <c r="AZ38" i="2"/>
  <c r="AX38" i="2"/>
  <c r="AW38" i="2"/>
  <c r="AV38" i="2"/>
  <c r="AU38" i="2"/>
  <c r="AP38" i="2"/>
  <c r="AN38" i="2"/>
  <c r="AK38" i="2"/>
  <c r="AJ38" i="2"/>
  <c r="AI38" i="2"/>
  <c r="AF38" i="2"/>
  <c r="AE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C38" i="2"/>
  <c r="D38" i="2"/>
  <c r="E38" i="2"/>
  <c r="F38" i="2"/>
  <c r="G38" i="2"/>
  <c r="H38" i="2"/>
  <c r="I38" i="2"/>
  <c r="BH36" i="2"/>
  <c r="BH38" i="2" s="1"/>
  <c r="BD36" i="2"/>
  <c r="BD38" i="2" s="1"/>
  <c r="BH5" i="2"/>
  <c r="BH17" i="2" s="1"/>
  <c r="BD5" i="2"/>
  <c r="BD17" i="2" s="1"/>
  <c r="BU58" i="2"/>
  <c r="BT58" i="2"/>
  <c r="BS58" i="2"/>
  <c r="BR58" i="2"/>
  <c r="BQ58" i="2"/>
  <c r="BP58" i="2"/>
  <c r="BO58" i="2"/>
  <c r="BN58" i="2"/>
  <c r="BM58" i="2"/>
  <c r="BU56" i="2"/>
  <c r="BT56" i="2"/>
  <c r="BS56" i="2"/>
  <c r="BR56" i="2"/>
  <c r="BQ56" i="2"/>
  <c r="BP56" i="2"/>
  <c r="BO56" i="2"/>
  <c r="BN56" i="2"/>
  <c r="BM56" i="2"/>
  <c r="BU54" i="2"/>
  <c r="BT54" i="2"/>
  <c r="BS54" i="2"/>
  <c r="BR54" i="2"/>
  <c r="BQ54" i="2"/>
  <c r="BP54" i="2"/>
  <c r="BO54" i="2"/>
  <c r="BN54" i="2"/>
  <c r="BM54" i="2"/>
  <c r="BU52" i="2"/>
  <c r="BT52" i="2"/>
  <c r="BS52" i="2"/>
  <c r="BR52" i="2"/>
  <c r="BQ52" i="2"/>
  <c r="BP52" i="2"/>
  <c r="BO52" i="2"/>
  <c r="BN52" i="2"/>
  <c r="BM52" i="2"/>
  <c r="I37" i="1"/>
  <c r="I35" i="1"/>
  <c r="I34" i="1"/>
  <c r="I31" i="1"/>
  <c r="I23" i="1"/>
  <c r="I22" i="1"/>
  <c r="I8" i="1"/>
  <c r="I7" i="1"/>
  <c r="I6" i="1"/>
  <c r="AY36" i="2"/>
  <c r="AY38" i="2" s="1"/>
  <c r="AY5" i="2"/>
  <c r="AY17" i="2" s="1"/>
  <c r="BL58" i="2"/>
  <c r="BK58" i="2"/>
  <c r="BJ58" i="2"/>
  <c r="BI58" i="2"/>
  <c r="BH58" i="2"/>
  <c r="BG58" i="2"/>
  <c r="BF58" i="2"/>
  <c r="BE58" i="2"/>
  <c r="BD58" i="2"/>
  <c r="BL56" i="2"/>
  <c r="BK56" i="2"/>
  <c r="BJ56" i="2"/>
  <c r="BI56" i="2"/>
  <c r="BH56" i="2"/>
  <c r="BG56" i="2"/>
  <c r="BF56" i="2"/>
  <c r="BE56" i="2"/>
  <c r="BD56" i="2"/>
  <c r="BL54" i="2"/>
  <c r="BK54" i="2"/>
  <c r="BJ54" i="2"/>
  <c r="BI54" i="2"/>
  <c r="BH54" i="2"/>
  <c r="BG54" i="2"/>
  <c r="BF54" i="2"/>
  <c r="BE54" i="2"/>
  <c r="BD54" i="2"/>
  <c r="BL52" i="2"/>
  <c r="BK52" i="2"/>
  <c r="BJ52" i="2"/>
  <c r="BI52" i="2"/>
  <c r="BH52" i="2"/>
  <c r="BG52" i="2"/>
  <c r="BF52" i="2"/>
  <c r="BE52" i="2"/>
  <c r="BD52" i="2"/>
  <c r="H37" i="1"/>
  <c r="H35" i="1"/>
  <c r="H34" i="1"/>
  <c r="H31" i="1"/>
  <c r="H23" i="1"/>
  <c r="H22" i="1"/>
  <c r="H8" i="1"/>
  <c r="H7" i="1"/>
  <c r="H6" i="1"/>
  <c r="AM46" i="2"/>
  <c r="AM47" i="2" s="1"/>
  <c r="AT5" i="2"/>
  <c r="AT17" i="2" s="1"/>
  <c r="AS5" i="2"/>
  <c r="AS17" i="2" s="1"/>
  <c r="AR5" i="2"/>
  <c r="AR17" i="2" s="1"/>
  <c r="AQ5" i="2"/>
  <c r="AQ17" i="2" s="1"/>
  <c r="AO5" i="2"/>
  <c r="AO17" i="2" s="1"/>
  <c r="AM5" i="2"/>
  <c r="AM17" i="2" s="1"/>
  <c r="AL5" i="2"/>
  <c r="AL17" i="2" s="1"/>
  <c r="AT36" i="2"/>
  <c r="AT38" i="2" s="1"/>
  <c r="AS36" i="2"/>
  <c r="AS38" i="2" s="1"/>
  <c r="AR36" i="2"/>
  <c r="AR38" i="2" s="1"/>
  <c r="AQ36" i="2"/>
  <c r="AQ38" i="2" s="1"/>
  <c r="AO36" i="2"/>
  <c r="AO38" i="2" s="1"/>
  <c r="AM36" i="2"/>
  <c r="AM38" i="2" s="1"/>
  <c r="AL36" i="2"/>
  <c r="AL38" i="2" s="1"/>
  <c r="BC52" i="2"/>
  <c r="BB52" i="2"/>
  <c r="BA52" i="2"/>
  <c r="AZ52" i="2"/>
  <c r="AY52" i="2"/>
  <c r="AX52" i="2"/>
  <c r="AW52" i="2"/>
  <c r="AV52" i="2"/>
  <c r="AU52" i="2"/>
  <c r="AK52" i="2"/>
  <c r="AT52" i="2"/>
  <c r="AS52" i="2"/>
  <c r="AM52" i="2"/>
  <c r="AN52" i="2"/>
  <c r="AO52" i="2"/>
  <c r="AP52" i="2"/>
  <c r="AQ52" i="2"/>
  <c r="AR52" i="2"/>
  <c r="AL52" i="2"/>
  <c r="AH52" i="2"/>
  <c r="AI52" i="2"/>
  <c r="AJ52" i="2"/>
  <c r="AG52" i="2"/>
  <c r="AH5" i="2"/>
  <c r="AH17" i="2" s="1"/>
  <c r="AG5" i="2"/>
  <c r="AG17" i="2" s="1"/>
  <c r="AH36" i="2"/>
  <c r="AH38" i="2" s="1"/>
  <c r="AG36" i="2"/>
  <c r="AG38" i="2" s="1"/>
  <c r="BC58" i="2"/>
  <c r="BB58" i="2"/>
  <c r="BA58" i="2"/>
  <c r="AZ58" i="2"/>
  <c r="AY58" i="2"/>
  <c r="AX58" i="2"/>
  <c r="AW58" i="2"/>
  <c r="AV58" i="2"/>
  <c r="AU58" i="2"/>
  <c r="BC56" i="2"/>
  <c r="BB56" i="2"/>
  <c r="BA56" i="2"/>
  <c r="AZ56" i="2"/>
  <c r="AY56" i="2"/>
  <c r="AX56" i="2"/>
  <c r="AW56" i="2"/>
  <c r="AV56" i="2"/>
  <c r="AU56" i="2"/>
  <c r="BC54" i="2"/>
  <c r="BB54" i="2"/>
  <c r="BA54" i="2"/>
  <c r="AZ54" i="2"/>
  <c r="AY54" i="2"/>
  <c r="AX54" i="2"/>
  <c r="AW54" i="2"/>
  <c r="AV54" i="2"/>
  <c r="AU54" i="2"/>
  <c r="G35" i="1"/>
  <c r="G34" i="1"/>
  <c r="G31" i="1"/>
  <c r="G23" i="1"/>
  <c r="G22" i="1"/>
  <c r="G8" i="1"/>
  <c r="G7" i="1"/>
  <c r="G6" i="1"/>
  <c r="AD36" i="2"/>
  <c r="AD38" i="2" s="1"/>
  <c r="AC36" i="2"/>
  <c r="AC38" i="2" s="1"/>
  <c r="AD5" i="2"/>
  <c r="AD17" i="2" s="1"/>
  <c r="AC5" i="2"/>
  <c r="AC17" i="2" s="1"/>
  <c r="AT58" i="2"/>
  <c r="AS58" i="2"/>
  <c r="AR58" i="2"/>
  <c r="AQ58" i="2"/>
  <c r="AP58" i="2"/>
  <c r="AO58" i="2"/>
  <c r="AN58" i="2"/>
  <c r="AM58" i="2"/>
  <c r="AL58" i="2"/>
  <c r="AT56" i="2"/>
  <c r="AS56" i="2"/>
  <c r="AR56" i="2"/>
  <c r="AQ56" i="2"/>
  <c r="AP56" i="2"/>
  <c r="AO56" i="2"/>
  <c r="AN56" i="2"/>
  <c r="AM56" i="2"/>
  <c r="AL56" i="2"/>
  <c r="AT54" i="2"/>
  <c r="AS54" i="2"/>
  <c r="AR54" i="2"/>
  <c r="AQ54" i="2"/>
  <c r="AP54" i="2"/>
  <c r="AO54" i="2"/>
  <c r="AN54" i="2"/>
  <c r="AM54" i="2"/>
  <c r="AL54" i="2"/>
  <c r="F35" i="1"/>
  <c r="F34" i="1"/>
  <c r="F31" i="1"/>
  <c r="F23" i="1"/>
  <c r="F22" i="1"/>
  <c r="F8" i="1"/>
  <c r="F7" i="1"/>
  <c r="F6" i="1"/>
  <c r="AK58" i="2"/>
  <c r="AJ58" i="2"/>
  <c r="AI58" i="2"/>
  <c r="AH58" i="2"/>
  <c r="AG58" i="2"/>
  <c r="AF58" i="2"/>
  <c r="AE58" i="2"/>
  <c r="AD58" i="2"/>
  <c r="AC58" i="2"/>
  <c r="AK56" i="2"/>
  <c r="AJ56" i="2"/>
  <c r="AI56" i="2"/>
  <c r="AH56" i="2"/>
  <c r="AG56" i="2"/>
  <c r="AF56" i="2"/>
  <c r="AE56" i="2"/>
  <c r="AD56" i="2"/>
  <c r="AC56" i="2"/>
  <c r="AK54" i="2"/>
  <c r="AJ54" i="2"/>
  <c r="AI54" i="2"/>
  <c r="AH54" i="2"/>
  <c r="AG54" i="2"/>
  <c r="AF54" i="2"/>
  <c r="AE54" i="2"/>
  <c r="AD54" i="2"/>
  <c r="AC54" i="2"/>
  <c r="AF52" i="2"/>
  <c r="AE52" i="2"/>
  <c r="AD52" i="2"/>
  <c r="AC52" i="2"/>
  <c r="E35" i="1"/>
  <c r="E34" i="1"/>
  <c r="E31" i="1"/>
  <c r="E23" i="1"/>
  <c r="E22" i="1"/>
  <c r="E8" i="1"/>
  <c r="E7" i="1"/>
  <c r="E6" i="1"/>
  <c r="D6" i="1"/>
  <c r="D7" i="1"/>
  <c r="D31" i="1"/>
  <c r="D22" i="1"/>
  <c r="D23" i="1"/>
  <c r="D8" i="1"/>
  <c r="D34" i="1"/>
  <c r="D35" i="1"/>
  <c r="D36" i="1"/>
  <c r="D37" i="1"/>
  <c r="C6" i="1"/>
  <c r="C7" i="1"/>
  <c r="C31" i="1"/>
  <c r="C22" i="1"/>
  <c r="C23" i="1"/>
  <c r="C8" i="1"/>
  <c r="C9" i="1" s="1"/>
  <c r="C10" i="1" s="1"/>
  <c r="C34" i="1"/>
  <c r="C35" i="1"/>
  <c r="C36" i="1"/>
  <c r="C37" i="1"/>
  <c r="AB58" i="2"/>
  <c r="AB56" i="2"/>
  <c r="AB54" i="2"/>
  <c r="AB52" i="2"/>
  <c r="J58" i="2"/>
  <c r="J56" i="2"/>
  <c r="J54" i="2"/>
  <c r="J52" i="2"/>
  <c r="S58" i="2"/>
  <c r="S56" i="2"/>
  <c r="S54" i="2"/>
  <c r="S52" i="2"/>
  <c r="AA58" i="2"/>
  <c r="Z58" i="2"/>
  <c r="Y58" i="2"/>
  <c r="X58" i="2"/>
  <c r="W58" i="2"/>
  <c r="V58" i="2"/>
  <c r="U58" i="2"/>
  <c r="T58" i="2"/>
  <c r="R58" i="2"/>
  <c r="Q58" i="2"/>
  <c r="P58" i="2"/>
  <c r="O58" i="2"/>
  <c r="N58" i="2"/>
  <c r="M58" i="2"/>
  <c r="L58" i="2"/>
  <c r="K58" i="2"/>
  <c r="I58" i="2"/>
  <c r="H58" i="2"/>
  <c r="G58" i="2"/>
  <c r="F58" i="2"/>
  <c r="E58" i="2"/>
  <c r="D58" i="2"/>
  <c r="C58" i="2"/>
  <c r="B58" i="2"/>
  <c r="AA56" i="2"/>
  <c r="Z56" i="2"/>
  <c r="Y56" i="2"/>
  <c r="X56" i="2"/>
  <c r="W56" i="2"/>
  <c r="V56" i="2"/>
  <c r="U56" i="2"/>
  <c r="T56" i="2"/>
  <c r="AA54" i="2"/>
  <c r="Z54" i="2"/>
  <c r="Y54" i="2"/>
  <c r="X54" i="2"/>
  <c r="W54" i="2"/>
  <c r="V54" i="2"/>
  <c r="U54" i="2"/>
  <c r="T54" i="2"/>
  <c r="AA52" i="2"/>
  <c r="Z52" i="2"/>
  <c r="Y52" i="2"/>
  <c r="X52" i="2"/>
  <c r="W52" i="2"/>
  <c r="V52" i="2"/>
  <c r="U52" i="2"/>
  <c r="T52" i="2"/>
  <c r="R56" i="2"/>
  <c r="Q56" i="2"/>
  <c r="P56" i="2"/>
  <c r="O56" i="2"/>
  <c r="N56" i="2"/>
  <c r="M56" i="2"/>
  <c r="L56" i="2"/>
  <c r="K56" i="2"/>
  <c r="R54" i="2"/>
  <c r="Q54" i="2"/>
  <c r="P54" i="2"/>
  <c r="O54" i="2"/>
  <c r="N54" i="2"/>
  <c r="M54" i="2"/>
  <c r="L54" i="2"/>
  <c r="K54" i="2"/>
  <c r="R52" i="2"/>
  <c r="Q52" i="2"/>
  <c r="P52" i="2"/>
  <c r="O52" i="2"/>
  <c r="N52" i="2"/>
  <c r="M52" i="2"/>
  <c r="L52" i="2"/>
  <c r="K52" i="2"/>
  <c r="C56" i="2"/>
  <c r="D56" i="2"/>
  <c r="E56" i="2"/>
  <c r="F56" i="2"/>
  <c r="G56" i="2"/>
  <c r="H56" i="2"/>
  <c r="I56" i="2"/>
  <c r="B56" i="2"/>
  <c r="C52" i="2"/>
  <c r="D52" i="2"/>
  <c r="E52" i="2"/>
  <c r="F52" i="2"/>
  <c r="G52" i="2"/>
  <c r="H52" i="2"/>
  <c r="I52" i="2"/>
  <c r="B52" i="2"/>
  <c r="C54" i="2"/>
  <c r="D54" i="2"/>
  <c r="E54" i="2"/>
  <c r="F54" i="2"/>
  <c r="G54" i="2"/>
  <c r="H54" i="2"/>
  <c r="I54" i="2"/>
  <c r="B54" i="2"/>
  <c r="B23" i="1"/>
  <c r="B26" i="1"/>
  <c r="B8" i="1" s="1"/>
  <c r="B7" i="1"/>
  <c r="B6" i="1"/>
  <c r="B22" i="1"/>
  <c r="B31" i="1"/>
  <c r="B35" i="1"/>
  <c r="B36" i="1"/>
  <c r="B37" i="1"/>
  <c r="B34" i="1"/>
  <c r="AD10" i="1" l="1"/>
  <c r="IA63" i="2"/>
  <c r="B9" i="1"/>
  <c r="O9" i="1"/>
  <c r="Q9" i="1"/>
  <c r="V9" i="1"/>
  <c r="AD63" i="2"/>
  <c r="AH63" i="2"/>
  <c r="AX63" i="2"/>
  <c r="BB63" i="2"/>
  <c r="L9" i="1"/>
  <c r="JB63" i="2"/>
  <c r="JT63" i="2"/>
  <c r="D9" i="1"/>
  <c r="D10" i="1" s="1"/>
  <c r="E37" i="1"/>
  <c r="IS63" i="2"/>
  <c r="LD63" i="2"/>
  <c r="LV63" i="2"/>
  <c r="ME63" i="2"/>
  <c r="KL63" i="2"/>
  <c r="AF63" i="2"/>
  <c r="AJ63" i="2"/>
  <c r="AV63" i="2"/>
  <c r="AZ63" i="2"/>
  <c r="IJ63" i="2"/>
  <c r="JK63" i="2"/>
  <c r="KU63" i="2"/>
  <c r="LM63" i="2"/>
  <c r="KC63" i="2"/>
  <c r="AM63" i="2"/>
  <c r="AO63" i="2"/>
  <c r="AQ63" i="2"/>
  <c r="AS63" i="2"/>
  <c r="BM63" i="2"/>
  <c r="BO63" i="2"/>
  <c r="BQ63" i="2"/>
  <c r="BS63" i="2"/>
  <c r="DX63" i="2"/>
  <c r="DZ63" i="2"/>
  <c r="EB63" i="2"/>
  <c r="ED63" i="2"/>
  <c r="FI63" i="2"/>
  <c r="FK63" i="2"/>
  <c r="FM63" i="2"/>
  <c r="FO63" i="2"/>
  <c r="GI63" i="2"/>
  <c r="GK63" i="2"/>
  <c r="GM63" i="2"/>
  <c r="GO63" i="2"/>
  <c r="GS63" i="2"/>
  <c r="GU63" i="2"/>
  <c r="GW63" i="2"/>
  <c r="GY63" i="2"/>
  <c r="BV63" i="2"/>
  <c r="BX63" i="2"/>
  <c r="BZ63" i="2"/>
  <c r="CB63" i="2"/>
  <c r="CF63" i="2"/>
  <c r="CH63" i="2"/>
  <c r="CJ63" i="2"/>
  <c r="CL63" i="2"/>
  <c r="CO63" i="2"/>
  <c r="CQ63" i="2"/>
  <c r="CS63" i="2"/>
  <c r="CU63" i="2"/>
  <c r="CW63" i="2"/>
  <c r="CY63" i="2"/>
  <c r="DA63" i="2"/>
  <c r="DC63" i="2"/>
  <c r="DF63" i="2"/>
  <c r="DH63" i="2"/>
  <c r="DJ63" i="2"/>
  <c r="DL63" i="2"/>
  <c r="FQ63" i="2"/>
  <c r="FS63" i="2"/>
  <c r="FU63" i="2"/>
  <c r="FW63" i="2"/>
  <c r="GA63" i="2"/>
  <c r="GC63" i="2"/>
  <c r="GE63" i="2"/>
  <c r="GG63" i="2"/>
  <c r="HB63" i="2"/>
  <c r="HD63" i="2"/>
  <c r="HF63" i="2"/>
  <c r="HH63" i="2"/>
  <c r="B27" i="1"/>
  <c r="B10" i="1"/>
  <c r="J9" i="1"/>
  <c r="M9" i="1"/>
  <c r="E9" i="1"/>
  <c r="E27" i="1" s="1"/>
  <c r="G9" i="1"/>
  <c r="H9" i="1"/>
  <c r="K9" i="1"/>
  <c r="S9" i="1"/>
  <c r="S10" i="1" s="1"/>
  <c r="T9" i="1"/>
  <c r="F18" i="1"/>
  <c r="F36" i="1" s="1"/>
  <c r="P18" i="1"/>
  <c r="P36" i="1" s="1"/>
  <c r="U9" i="1"/>
  <c r="U10" i="1" s="1"/>
  <c r="X9" i="1"/>
  <c r="B63" i="2"/>
  <c r="H63" i="2"/>
  <c r="D63" i="2"/>
  <c r="M63" i="2"/>
  <c r="O63" i="2"/>
  <c r="V63" i="2"/>
  <c r="Z63" i="2"/>
  <c r="I63" i="2"/>
  <c r="G63" i="2"/>
  <c r="E63" i="2"/>
  <c r="C63" i="2"/>
  <c r="L63" i="2"/>
  <c r="N63" i="2"/>
  <c r="P63" i="2"/>
  <c r="R63" i="2"/>
  <c r="U63" i="2"/>
  <c r="W63" i="2"/>
  <c r="AC63" i="2"/>
  <c r="AE63" i="2"/>
  <c r="AG63" i="2"/>
  <c r="AI63" i="2"/>
  <c r="AL63" i="2"/>
  <c r="AN63" i="2"/>
  <c r="AP63" i="2"/>
  <c r="AR63" i="2"/>
  <c r="AU63" i="2"/>
  <c r="AW63" i="2"/>
  <c r="AY63" i="2"/>
  <c r="BA63" i="2"/>
  <c r="BD63" i="2"/>
  <c r="BF63" i="2"/>
  <c r="BH63" i="2"/>
  <c r="BJ63" i="2"/>
  <c r="F63" i="2"/>
  <c r="K63" i="2"/>
  <c r="Q63" i="2"/>
  <c r="T63" i="2"/>
  <c r="X63" i="2"/>
  <c r="BE63" i="2"/>
  <c r="BG63" i="2"/>
  <c r="BI63" i="2"/>
  <c r="BK63" i="2"/>
  <c r="Y63" i="2"/>
  <c r="AA63" i="2"/>
  <c r="BW63" i="2"/>
  <c r="BY63" i="2"/>
  <c r="CA63" i="2"/>
  <c r="CC63" i="2"/>
  <c r="CN63" i="2"/>
  <c r="CP63" i="2"/>
  <c r="CR63" i="2"/>
  <c r="CT63" i="2"/>
  <c r="DO63" i="2"/>
  <c r="DQ63" i="2"/>
  <c r="DS63" i="2"/>
  <c r="DU63" i="2"/>
  <c r="EH63" i="2"/>
  <c r="EJ63" i="2"/>
  <c r="EL63" i="2"/>
  <c r="EN63" i="2"/>
  <c r="EQ63" i="2"/>
  <c r="ES63" i="2"/>
  <c r="EU63" i="2"/>
  <c r="EW63" i="2"/>
  <c r="EZ63" i="2"/>
  <c r="FB63" i="2"/>
  <c r="FD63" i="2"/>
  <c r="FF63" i="2"/>
  <c r="FZ63" i="2"/>
  <c r="GB63" i="2"/>
  <c r="GD63" i="2"/>
  <c r="GF63" i="2"/>
  <c r="GJ63" i="2"/>
  <c r="GL63" i="2"/>
  <c r="GN63" i="2"/>
  <c r="GP63" i="2"/>
  <c r="BN63" i="2"/>
  <c r="BP63" i="2"/>
  <c r="BR63" i="2"/>
  <c r="BT63" i="2"/>
  <c r="CE63" i="2"/>
  <c r="CG63" i="2"/>
  <c r="CI63" i="2"/>
  <c r="CK63" i="2"/>
  <c r="CX63" i="2"/>
  <c r="CZ63" i="2"/>
  <c r="DB63" i="2"/>
  <c r="DD63" i="2"/>
  <c r="DG63" i="2"/>
  <c r="DI63" i="2"/>
  <c r="DK63" i="2"/>
  <c r="DM63" i="2"/>
  <c r="DP63" i="2"/>
  <c r="DR63" i="2"/>
  <c r="DT63" i="2"/>
  <c r="DV63" i="2"/>
  <c r="DW63" i="2" s="1"/>
  <c r="DY63" i="2"/>
  <c r="EA63" i="2"/>
  <c r="EC63" i="2"/>
  <c r="EE63" i="2"/>
  <c r="EG63" i="2"/>
  <c r="EI63" i="2"/>
  <c r="EK63" i="2"/>
  <c r="EM63" i="2"/>
  <c r="EP63" i="2"/>
  <c r="ER63" i="2"/>
  <c r="ET63" i="2"/>
  <c r="EV63" i="2"/>
  <c r="EY63" i="2"/>
  <c r="FA63" i="2"/>
  <c r="FC63" i="2"/>
  <c r="FE63" i="2"/>
  <c r="FH63" i="2"/>
  <c r="FJ63" i="2"/>
  <c r="FL63" i="2"/>
  <c r="FN63" i="2"/>
  <c r="FR63" i="2"/>
  <c r="FT63" i="2"/>
  <c r="FV63" i="2"/>
  <c r="FX63" i="2"/>
  <c r="GR63" i="2"/>
  <c r="GT63" i="2"/>
  <c r="GV63" i="2"/>
  <c r="GX63" i="2"/>
  <c r="HA63" i="2"/>
  <c r="HC63" i="2"/>
  <c r="HE63" i="2"/>
  <c r="HG63" i="2"/>
  <c r="Y10" i="1"/>
  <c r="Y27" i="1"/>
  <c r="W9" i="1"/>
  <c r="W27" i="1" s="1"/>
  <c r="X10" i="1"/>
  <c r="X27" i="1"/>
  <c r="V10" i="1"/>
  <c r="V27" i="1"/>
  <c r="T27" i="1"/>
  <c r="T10" i="1"/>
  <c r="R9" i="1"/>
  <c r="R27" i="1" s="1"/>
  <c r="P9" i="1"/>
  <c r="P27" i="1" s="1"/>
  <c r="Q10" i="1"/>
  <c r="Q27" i="1"/>
  <c r="N9" i="1"/>
  <c r="N10" i="1" s="1"/>
  <c r="O10" i="1"/>
  <c r="O27" i="1"/>
  <c r="M10" i="1"/>
  <c r="M27" i="1"/>
  <c r="L10" i="1"/>
  <c r="L27" i="1"/>
  <c r="K10" i="1"/>
  <c r="K27" i="1"/>
  <c r="I9" i="1"/>
  <c r="I27" i="1" s="1"/>
  <c r="J10" i="1"/>
  <c r="J27" i="1"/>
  <c r="H10" i="1"/>
  <c r="H27" i="1"/>
  <c r="F9" i="1"/>
  <c r="F27" i="1" s="1"/>
  <c r="G10" i="1"/>
  <c r="G27" i="1"/>
  <c r="E10" i="1"/>
  <c r="C27" i="1"/>
  <c r="FY63" i="2" l="1"/>
  <c r="EF63" i="2"/>
  <c r="DN63" i="2"/>
  <c r="GQ63" i="2"/>
  <c r="S63" i="2"/>
  <c r="D27" i="1"/>
  <c r="S27" i="1"/>
  <c r="HI63" i="2"/>
  <c r="GH63" i="2"/>
  <c r="GZ63" i="2"/>
  <c r="FP63" i="2"/>
  <c r="AT63" i="2"/>
  <c r="U27" i="1"/>
  <c r="FG63" i="2"/>
  <c r="EX63" i="2"/>
  <c r="EO63" i="2"/>
  <c r="F10" i="1"/>
  <c r="I10" i="1"/>
  <c r="N27" i="1"/>
  <c r="P10" i="1"/>
  <c r="R10" i="1"/>
  <c r="W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kaori</author>
  </authors>
  <commentList>
    <comment ref="C1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記載なし</t>
        </r>
      </text>
    </comment>
    <comment ref="C17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記載なし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8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損益計算書　合計差異　1,000,000円</t>
        </r>
      </text>
    </comment>
    <comment ref="C32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科目　相違</t>
        </r>
      </text>
    </comment>
    <comment ref="C33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科目　相違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kaori</author>
  </authors>
  <commentList>
    <comment ref="C16" authorId="0" shapeId="0" xr:uid="{5AE842B0-20FD-4DF8-9BFD-EE652185C823}">
      <text>
        <r>
          <rPr>
            <b/>
            <sz val="9"/>
            <color indexed="81"/>
            <rFont val="ＭＳ Ｐゴシック"/>
            <family val="3"/>
            <charset val="128"/>
          </rPr>
          <t>記載なし</t>
        </r>
      </text>
    </comment>
    <comment ref="C17" authorId="0" shapeId="0" xr:uid="{08EA88C5-E1F8-47B1-9535-66F1E44B53CE}">
      <text>
        <r>
          <rPr>
            <b/>
            <sz val="9"/>
            <color indexed="81"/>
            <rFont val="ＭＳ Ｐゴシック"/>
            <family val="3"/>
            <charset val="128"/>
          </rPr>
          <t>記載なし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8" authorId="0" shapeId="0" xr:uid="{C62479F3-1A0F-4307-9B02-683D0F728134}">
      <text>
        <r>
          <rPr>
            <b/>
            <sz val="9"/>
            <color indexed="81"/>
            <rFont val="ＭＳ Ｐゴシック"/>
            <family val="3"/>
            <charset val="128"/>
          </rPr>
          <t>損益計算書　合計差異　1,000,000円</t>
        </r>
      </text>
    </comment>
    <comment ref="C32" authorId="0" shapeId="0" xr:uid="{48568EEE-4C41-4B70-BAD3-15AD0CD52E3B}">
      <text>
        <r>
          <rPr>
            <b/>
            <sz val="9"/>
            <color indexed="81"/>
            <rFont val="ＭＳ Ｐゴシック"/>
            <family val="3"/>
            <charset val="128"/>
          </rPr>
          <t>科目　相違</t>
        </r>
      </text>
    </comment>
    <comment ref="C33" authorId="0" shapeId="0" xr:uid="{07BD2182-639D-488B-8981-C30A3BC417E3}">
      <text>
        <r>
          <rPr>
            <b/>
            <sz val="9"/>
            <color indexed="81"/>
            <rFont val="ＭＳ Ｐゴシック"/>
            <family val="3"/>
            <charset val="128"/>
          </rPr>
          <t>科目　相違</t>
        </r>
      </text>
    </comment>
    <comment ref="L44" authorId="0" shapeId="0" xr:uid="{08D56872-D6E3-4866-A5D5-DFBF4ADEED7C}">
      <text>
        <r>
          <rPr>
            <b/>
            <sz val="9"/>
            <color indexed="81"/>
            <rFont val="ＭＳ Ｐゴシック"/>
            <family val="3"/>
            <charset val="128"/>
          </rPr>
          <t>損益計算書　合計差異　1,000,000円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kaori</author>
  </authors>
  <commentList>
    <comment ref="C16" authorId="0" shapeId="0" xr:uid="{40E6A352-F05C-4605-A670-5045B0E6DF60}">
      <text>
        <r>
          <rPr>
            <b/>
            <sz val="9"/>
            <color indexed="81"/>
            <rFont val="ＭＳ Ｐゴシック"/>
            <family val="3"/>
            <charset val="128"/>
          </rPr>
          <t>記載なし</t>
        </r>
      </text>
    </comment>
    <comment ref="C17" authorId="0" shapeId="0" xr:uid="{1CF22D0A-2740-4164-A681-21C4418A9816}">
      <text>
        <r>
          <rPr>
            <b/>
            <sz val="9"/>
            <color indexed="81"/>
            <rFont val="ＭＳ Ｐゴシック"/>
            <family val="3"/>
            <charset val="128"/>
          </rPr>
          <t>記載なし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8" authorId="0" shapeId="0" xr:uid="{111BB24C-511E-4F21-AAB8-80983F649170}">
      <text>
        <r>
          <rPr>
            <b/>
            <sz val="9"/>
            <color indexed="81"/>
            <rFont val="ＭＳ Ｐゴシック"/>
            <family val="3"/>
            <charset val="128"/>
          </rPr>
          <t>損益計算書　合計差異　1,000,000円</t>
        </r>
      </text>
    </comment>
    <comment ref="C32" authorId="0" shapeId="0" xr:uid="{FEFA8103-6C3C-4813-82D5-63B85F385A40}">
      <text>
        <r>
          <rPr>
            <b/>
            <sz val="9"/>
            <color indexed="81"/>
            <rFont val="ＭＳ Ｐゴシック"/>
            <family val="3"/>
            <charset val="128"/>
          </rPr>
          <t>科目　相違</t>
        </r>
      </text>
    </comment>
    <comment ref="C33" authorId="0" shapeId="0" xr:uid="{F819225D-1431-4D0A-BF3E-92D7B5DDED4A}">
      <text>
        <r>
          <rPr>
            <b/>
            <sz val="9"/>
            <color indexed="81"/>
            <rFont val="ＭＳ Ｐゴシック"/>
            <family val="3"/>
            <charset val="128"/>
          </rPr>
          <t>科目　相違</t>
        </r>
      </text>
    </comment>
  </commentList>
</comments>
</file>

<file path=xl/sharedStrings.xml><?xml version="1.0" encoding="utf-8"?>
<sst xmlns="http://schemas.openxmlformats.org/spreadsheetml/2006/main" count="6210" uniqueCount="413">
  <si>
    <t>年度</t>
    <rPh sb="0" eb="2">
      <t>ネンド</t>
    </rPh>
    <phoneticPr fontId="2"/>
  </si>
  <si>
    <t>期</t>
    <rPh sb="0" eb="1">
      <t>キ</t>
    </rPh>
    <phoneticPr fontId="2"/>
  </si>
  <si>
    <t>貸付残高</t>
    <rPh sb="0" eb="2">
      <t>カシツケ</t>
    </rPh>
    <rPh sb="2" eb="4">
      <t>ザンダカ</t>
    </rPh>
    <phoneticPr fontId="2"/>
  </si>
  <si>
    <t>出資金</t>
    <rPh sb="0" eb="3">
      <t>シュッシキン</t>
    </rPh>
    <phoneticPr fontId="2"/>
  </si>
  <si>
    <t>剰余金</t>
    <rPh sb="0" eb="3">
      <t>ジョウヨキン</t>
    </rPh>
    <phoneticPr fontId="2"/>
  </si>
  <si>
    <t>A　貸付残高</t>
    <rPh sb="2" eb="4">
      <t>カシツケ</t>
    </rPh>
    <rPh sb="4" eb="6">
      <t>ザンダカ</t>
    </rPh>
    <phoneticPr fontId="2"/>
  </si>
  <si>
    <t>B　出資金</t>
    <rPh sb="2" eb="5">
      <t>シュッシキン</t>
    </rPh>
    <phoneticPr fontId="2"/>
  </si>
  <si>
    <t>C　剰余金</t>
    <rPh sb="2" eb="5">
      <t>ジョウヨキン</t>
    </rPh>
    <phoneticPr fontId="2"/>
  </si>
  <si>
    <t>B+C　純資産</t>
    <rPh sb="4" eb="7">
      <t>ジュンシサン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</si>
  <si>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</si>
  <si>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貸付額</t>
    <rPh sb="0" eb="2">
      <t>カシツケ</t>
    </rPh>
    <rPh sb="2" eb="3">
      <t>ガク</t>
    </rPh>
    <phoneticPr fontId="2"/>
  </si>
  <si>
    <t>利息収入</t>
    <rPh sb="0" eb="2">
      <t>リソク</t>
    </rPh>
    <rPh sb="2" eb="4">
      <t>シュウニュウ</t>
    </rPh>
    <phoneticPr fontId="2"/>
  </si>
  <si>
    <t>事業収入</t>
    <rPh sb="0" eb="2">
      <t>ジギョウ</t>
    </rPh>
    <rPh sb="2" eb="4">
      <t>シュウニュウ</t>
    </rPh>
    <phoneticPr fontId="2"/>
  </si>
  <si>
    <t>人件費</t>
    <rPh sb="0" eb="3">
      <t>ジンケンヒ</t>
    </rPh>
    <phoneticPr fontId="2"/>
  </si>
  <si>
    <t>物件費</t>
    <rPh sb="0" eb="3">
      <t>ブッケンヒ</t>
    </rPh>
    <phoneticPr fontId="2"/>
  </si>
  <si>
    <t>経常剰余金</t>
    <rPh sb="0" eb="2">
      <t>ケイジョウ</t>
    </rPh>
    <rPh sb="2" eb="5">
      <t>ジョウヨキン</t>
    </rPh>
    <phoneticPr fontId="2"/>
  </si>
  <si>
    <t>※　概要数値</t>
    <rPh sb="2" eb="4">
      <t>ガイヨウ</t>
    </rPh>
    <rPh sb="4" eb="6">
      <t>スウチ</t>
    </rPh>
    <phoneticPr fontId="2"/>
  </si>
  <si>
    <t>※　主要経営数値（今期実績）</t>
    <rPh sb="2" eb="4">
      <t>シュヨウ</t>
    </rPh>
    <rPh sb="4" eb="6">
      <t>ケイエイ</t>
    </rPh>
    <rPh sb="6" eb="8">
      <t>スウチ</t>
    </rPh>
    <rPh sb="9" eb="11">
      <t>コンキ</t>
    </rPh>
    <rPh sb="11" eb="13">
      <t>ジッセキ</t>
    </rPh>
    <phoneticPr fontId="2"/>
  </si>
  <si>
    <t>※　貸借対照表</t>
    <rPh sb="2" eb="4">
      <t>タイシャク</t>
    </rPh>
    <rPh sb="4" eb="7">
      <t>タイショウヒョウ</t>
    </rPh>
    <phoneticPr fontId="2"/>
  </si>
  <si>
    <t>貸付金</t>
    <rPh sb="0" eb="2">
      <t>カシツケ</t>
    </rPh>
    <rPh sb="2" eb="3">
      <t>キン</t>
    </rPh>
    <phoneticPr fontId="2"/>
  </si>
  <si>
    <t>短期貸付金</t>
    <rPh sb="0" eb="2">
      <t>タンキ</t>
    </rPh>
    <rPh sb="2" eb="4">
      <t>カシツケ</t>
    </rPh>
    <rPh sb="4" eb="5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</si>
  <si>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</si>
  <si>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○純資産合計</t>
    <rPh sb="1" eb="4">
      <t>ジュンシサン</t>
    </rPh>
    <rPh sb="4" eb="6">
      <t>ゴウケイ</t>
    </rPh>
    <phoneticPr fontId="2"/>
  </si>
  <si>
    <t>※　損益計算書</t>
    <rPh sb="2" eb="4">
      <t>ソンエキ</t>
    </rPh>
    <rPh sb="4" eb="7">
      <t>ケイサンショ</t>
    </rPh>
    <phoneticPr fontId="2"/>
  </si>
  <si>
    <t>貸付金利息</t>
    <rPh sb="0" eb="2">
      <t>カシツケ</t>
    </rPh>
    <rPh sb="2" eb="3">
      <t>キン</t>
    </rPh>
    <rPh sb="3" eb="5">
      <t>リソク</t>
    </rPh>
    <phoneticPr fontId="2"/>
  </si>
  <si>
    <t>○経常剰余金</t>
    <rPh sb="1" eb="3">
      <t>ケイジョウ</t>
    </rPh>
    <rPh sb="3" eb="6">
      <t>ジョウヨキン</t>
    </rPh>
    <phoneticPr fontId="2"/>
  </si>
  <si>
    <t>借入金利息</t>
    <rPh sb="0" eb="2">
      <t>カリイレ</t>
    </rPh>
    <rPh sb="2" eb="3">
      <t>キン</t>
    </rPh>
    <rPh sb="3" eb="5">
      <t>リソク</t>
    </rPh>
    <phoneticPr fontId="2"/>
  </si>
  <si>
    <t>○当期末処分剰余金</t>
    <rPh sb="1" eb="2">
      <t>トウ</t>
    </rPh>
    <rPh sb="2" eb="3">
      <t>キ</t>
    </rPh>
    <rPh sb="3" eb="4">
      <t>マツ</t>
    </rPh>
    <rPh sb="4" eb="6">
      <t>ショブン</t>
    </rPh>
    <rPh sb="6" eb="9">
      <t>ジョウヨキン</t>
    </rPh>
    <phoneticPr fontId="2"/>
  </si>
  <si>
    <t>昭和46年度</t>
    <rPh sb="0" eb="2">
      <t>ショウワ</t>
    </rPh>
    <rPh sb="4" eb="6">
      <t>ネンド</t>
    </rPh>
    <phoneticPr fontId="2"/>
  </si>
  <si>
    <t>期首</t>
    <rPh sb="0" eb="2">
      <t>キシュ</t>
    </rPh>
    <phoneticPr fontId="2"/>
  </si>
  <si>
    <t>期末</t>
    <rPh sb="0" eb="2">
      <t>キマツ</t>
    </rPh>
    <phoneticPr fontId="2"/>
  </si>
  <si>
    <t>○資産合計</t>
    <rPh sb="1" eb="3">
      <t>シサン</t>
    </rPh>
    <rPh sb="3" eb="5">
      <t>ゴウケイ</t>
    </rPh>
    <phoneticPr fontId="2"/>
  </si>
  <si>
    <t>貸付種目</t>
    <rPh sb="0" eb="2">
      <t>カシツケ</t>
    </rPh>
    <rPh sb="2" eb="4">
      <t>シュモク</t>
    </rPh>
    <phoneticPr fontId="2"/>
  </si>
  <si>
    <t>生活再建資金非提携</t>
    <rPh sb="0" eb="2">
      <t>セイカツ</t>
    </rPh>
    <rPh sb="2" eb="4">
      <t>サイケン</t>
    </rPh>
    <rPh sb="4" eb="6">
      <t>シキン</t>
    </rPh>
    <rPh sb="6" eb="7">
      <t>ヒ</t>
    </rPh>
    <rPh sb="7" eb="9">
      <t>テイケイ</t>
    </rPh>
    <phoneticPr fontId="2"/>
  </si>
  <si>
    <t>スイッチ提携</t>
    <rPh sb="4" eb="6">
      <t>テイケイ</t>
    </rPh>
    <phoneticPr fontId="2"/>
  </si>
  <si>
    <t>スイッチ提携（特別）</t>
    <rPh sb="4" eb="6">
      <t>テイケイ</t>
    </rPh>
    <rPh sb="7" eb="9">
      <t>トクベツ</t>
    </rPh>
    <phoneticPr fontId="2"/>
  </si>
  <si>
    <t>スイッチ非提携</t>
    <rPh sb="4" eb="5">
      <t>ヒ</t>
    </rPh>
    <rPh sb="5" eb="7">
      <t>テイケイ</t>
    </rPh>
    <phoneticPr fontId="2"/>
  </si>
  <si>
    <t>スイッチ提携枠外</t>
    <rPh sb="4" eb="6">
      <t>テイケイ</t>
    </rPh>
    <rPh sb="6" eb="8">
      <t>ワクガイ</t>
    </rPh>
    <phoneticPr fontId="2"/>
  </si>
  <si>
    <t>生活債権資金</t>
    <rPh sb="0" eb="2">
      <t>セイカツ</t>
    </rPh>
    <rPh sb="2" eb="4">
      <t>サイケン</t>
    </rPh>
    <rPh sb="4" eb="6">
      <t>シキン</t>
    </rPh>
    <phoneticPr fontId="2"/>
  </si>
  <si>
    <t>生活再建資金枠外</t>
    <rPh sb="0" eb="2">
      <t>セイカツ</t>
    </rPh>
    <rPh sb="2" eb="4">
      <t>サイケン</t>
    </rPh>
    <rPh sb="4" eb="6">
      <t>シキン</t>
    </rPh>
    <rPh sb="6" eb="8">
      <t>ワクガイ</t>
    </rPh>
    <phoneticPr fontId="2"/>
  </si>
  <si>
    <t>ビジターシンプル</t>
    <phoneticPr fontId="2"/>
  </si>
  <si>
    <t>ビジターライフ</t>
    <phoneticPr fontId="2"/>
  </si>
  <si>
    <t>サポート</t>
    <phoneticPr fontId="2"/>
  </si>
  <si>
    <t>冠婚葬祭ローン</t>
    <rPh sb="0" eb="2">
      <t>カンコン</t>
    </rPh>
    <rPh sb="2" eb="4">
      <t>ソウサイ</t>
    </rPh>
    <phoneticPr fontId="2"/>
  </si>
  <si>
    <t>歯科ローン</t>
    <rPh sb="0" eb="2">
      <t>シカ</t>
    </rPh>
    <phoneticPr fontId="2"/>
  </si>
  <si>
    <t>教育</t>
    <rPh sb="0" eb="2">
      <t>キョウイク</t>
    </rPh>
    <phoneticPr fontId="2"/>
  </si>
  <si>
    <t>リフォーム</t>
    <phoneticPr fontId="2"/>
  </si>
  <si>
    <t>サポート（生活再生）</t>
    <rPh sb="5" eb="7">
      <t>セイカツ</t>
    </rPh>
    <rPh sb="7" eb="9">
      <t>サイセイ</t>
    </rPh>
    <phoneticPr fontId="2"/>
  </si>
  <si>
    <t>医療費</t>
    <rPh sb="0" eb="3">
      <t>イリョウヒ</t>
    </rPh>
    <phoneticPr fontId="2"/>
  </si>
  <si>
    <t>オートローン</t>
    <phoneticPr fontId="2"/>
  </si>
  <si>
    <t>不動産ローン</t>
    <rPh sb="0" eb="3">
      <t>フドウサン</t>
    </rPh>
    <phoneticPr fontId="2"/>
  </si>
  <si>
    <t>リリーフローン</t>
    <phoneticPr fontId="2"/>
  </si>
  <si>
    <t>レスキューローン</t>
    <phoneticPr fontId="2"/>
  </si>
  <si>
    <t>メンバーローン</t>
    <phoneticPr fontId="2"/>
  </si>
  <si>
    <t>クラブA</t>
    <phoneticPr fontId="2"/>
  </si>
  <si>
    <t>クラブB</t>
    <phoneticPr fontId="2"/>
  </si>
  <si>
    <t>シンプル</t>
    <phoneticPr fontId="2"/>
  </si>
  <si>
    <t>ライフ</t>
    <phoneticPr fontId="2"/>
  </si>
  <si>
    <t>共済会ローン</t>
    <rPh sb="0" eb="3">
      <t>キョウサイカイ</t>
    </rPh>
    <phoneticPr fontId="2"/>
  </si>
  <si>
    <t>共済会ローン退職者</t>
    <rPh sb="0" eb="3">
      <t>キョウサイカイ</t>
    </rPh>
    <rPh sb="6" eb="9">
      <t>タイショクシャ</t>
    </rPh>
    <phoneticPr fontId="2"/>
  </si>
  <si>
    <t>生活支援ローン</t>
    <rPh sb="0" eb="2">
      <t>セイカツ</t>
    </rPh>
    <rPh sb="2" eb="4">
      <t>シエン</t>
    </rPh>
    <phoneticPr fontId="2"/>
  </si>
  <si>
    <t>累計</t>
    <rPh sb="0" eb="2">
      <t>ルイケイ</t>
    </rPh>
    <phoneticPr fontId="2"/>
  </si>
  <si>
    <t>期中貸付</t>
    <rPh sb="0" eb="2">
      <t>キチュウ</t>
    </rPh>
    <rPh sb="2" eb="4">
      <t>カシツケ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</si>
  <si>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</si>
  <si>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</si>
  <si>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期中償還</t>
    <rPh sb="0" eb="2">
      <t>キチュウ</t>
    </rPh>
    <rPh sb="2" eb="4">
      <t>ショウカン</t>
    </rPh>
    <phoneticPr fontId="2"/>
  </si>
  <si>
    <t>期末残高</t>
    <rPh sb="0" eb="2">
      <t>キマツ</t>
    </rPh>
    <rPh sb="2" eb="4">
      <t>ザンダカ</t>
    </rPh>
    <phoneticPr fontId="2"/>
  </si>
  <si>
    <t>期中平残</t>
    <rPh sb="0" eb="2">
      <t>キチュウ</t>
    </rPh>
    <rPh sb="2" eb="3">
      <t>ヘイ</t>
    </rPh>
    <rPh sb="3" eb="4">
      <t>ザン</t>
    </rPh>
    <phoneticPr fontId="2"/>
  </si>
  <si>
    <t>利回り</t>
    <rPh sb="0" eb="2">
      <t>リマワ</t>
    </rPh>
    <phoneticPr fontId="2"/>
  </si>
  <si>
    <t>団体保証貸付</t>
    <rPh sb="0" eb="2">
      <t>ダンタイ</t>
    </rPh>
    <rPh sb="2" eb="4">
      <t>ホショウ</t>
    </rPh>
    <rPh sb="4" eb="6">
      <t>カシツケ</t>
    </rPh>
    <phoneticPr fontId="2"/>
  </si>
  <si>
    <t>有価証券貸付</t>
    <rPh sb="0" eb="2">
      <t>ユウカ</t>
    </rPh>
    <rPh sb="2" eb="4">
      <t>ショウケン</t>
    </rPh>
    <rPh sb="4" eb="6">
      <t>カシツケ</t>
    </rPh>
    <phoneticPr fontId="2"/>
  </si>
  <si>
    <t>不動産担保貸付</t>
    <rPh sb="0" eb="3">
      <t>フドウサン</t>
    </rPh>
    <rPh sb="3" eb="5">
      <t>タンポ</t>
    </rPh>
    <rPh sb="5" eb="7">
      <t>カシツケ</t>
    </rPh>
    <phoneticPr fontId="2"/>
  </si>
  <si>
    <t>無担保貸付</t>
    <rPh sb="0" eb="3">
      <t>ムタンポ</t>
    </rPh>
    <rPh sb="3" eb="5">
      <t>カシツケ</t>
    </rPh>
    <phoneticPr fontId="2"/>
  </si>
  <si>
    <t>■小計</t>
    <rPh sb="1" eb="3">
      <t>ショウケイ</t>
    </rPh>
    <phoneticPr fontId="2"/>
  </si>
  <si>
    <t>昭和49年度</t>
    <rPh sb="0" eb="2">
      <t>ショウワ</t>
    </rPh>
    <rPh sb="4" eb="6">
      <t>ネンド</t>
    </rPh>
    <phoneticPr fontId="2"/>
  </si>
  <si>
    <t>厚生貸付</t>
    <rPh sb="0" eb="2">
      <t>コウセイ</t>
    </rPh>
    <rPh sb="2" eb="4">
      <t>カシツケ</t>
    </rPh>
    <phoneticPr fontId="2"/>
  </si>
  <si>
    <t>昭和50年度</t>
    <rPh sb="0" eb="2">
      <t>ショウワ</t>
    </rPh>
    <rPh sb="4" eb="6">
      <t>ネンド</t>
    </rPh>
    <phoneticPr fontId="2"/>
  </si>
  <si>
    <t>昭和51年度</t>
    <rPh sb="0" eb="2">
      <t>ショウワ</t>
    </rPh>
    <rPh sb="4" eb="6">
      <t>ネンド</t>
    </rPh>
    <phoneticPr fontId="2"/>
  </si>
  <si>
    <t>昭和52年度</t>
    <rPh sb="0" eb="2">
      <t>ショウワ</t>
    </rPh>
    <rPh sb="4" eb="6">
      <t>ネンド</t>
    </rPh>
    <phoneticPr fontId="2"/>
  </si>
  <si>
    <t>共済契約者貸付</t>
    <rPh sb="0" eb="2">
      <t>キョウサイ</t>
    </rPh>
    <rPh sb="2" eb="5">
      <t>ケイヤクシャ</t>
    </rPh>
    <rPh sb="5" eb="7">
      <t>カシツケ</t>
    </rPh>
    <phoneticPr fontId="2"/>
  </si>
  <si>
    <t>昭和53年度</t>
    <rPh sb="0" eb="2">
      <t>ショウワ</t>
    </rPh>
    <rPh sb="4" eb="6">
      <t>ネンド</t>
    </rPh>
    <phoneticPr fontId="2"/>
  </si>
  <si>
    <t>昭和54年度</t>
    <rPh sb="0" eb="2">
      <t>ショウワ</t>
    </rPh>
    <rPh sb="4" eb="6">
      <t>ネンド</t>
    </rPh>
    <phoneticPr fontId="2"/>
  </si>
  <si>
    <t>土地割賦</t>
    <rPh sb="0" eb="2">
      <t>トチ</t>
    </rPh>
    <rPh sb="2" eb="4">
      <t>カップ</t>
    </rPh>
    <phoneticPr fontId="2"/>
  </si>
  <si>
    <t>昭和55年度</t>
    <rPh sb="0" eb="2">
      <t>ショウワ</t>
    </rPh>
    <rPh sb="4" eb="6">
      <t>ネンド</t>
    </rPh>
    <phoneticPr fontId="2"/>
  </si>
  <si>
    <t>昭和56年度</t>
    <rPh sb="0" eb="2">
      <t>ショウワ</t>
    </rPh>
    <rPh sb="4" eb="6">
      <t>ネンド</t>
    </rPh>
    <phoneticPr fontId="2"/>
  </si>
  <si>
    <t>動産担保貸付金</t>
    <rPh sb="0" eb="2">
      <t>ドウサン</t>
    </rPh>
    <rPh sb="2" eb="4">
      <t>タンポ</t>
    </rPh>
    <rPh sb="4" eb="6">
      <t>カシツケ</t>
    </rPh>
    <rPh sb="6" eb="7">
      <t>キン</t>
    </rPh>
    <phoneticPr fontId="2"/>
  </si>
  <si>
    <t>昭和57年度</t>
    <rPh sb="0" eb="2">
      <t>ショウワ</t>
    </rPh>
    <rPh sb="4" eb="6">
      <t>ネンド</t>
    </rPh>
    <phoneticPr fontId="2"/>
  </si>
  <si>
    <t>火災共済契約者貸付</t>
    <rPh sb="0" eb="2">
      <t>カサイ</t>
    </rPh>
    <rPh sb="2" eb="4">
      <t>キョウサイ</t>
    </rPh>
    <rPh sb="4" eb="7">
      <t>ケイヤクシャ</t>
    </rPh>
    <rPh sb="7" eb="9">
      <t>カシツケ</t>
    </rPh>
    <phoneticPr fontId="2"/>
  </si>
  <si>
    <t>自動車共済契約者貸付</t>
    <rPh sb="0" eb="3">
      <t>ジドウシャ</t>
    </rPh>
    <rPh sb="3" eb="5">
      <t>キョウサイ</t>
    </rPh>
    <rPh sb="5" eb="8">
      <t>ケイヤクシャ</t>
    </rPh>
    <rPh sb="8" eb="10">
      <t>カシツケ</t>
    </rPh>
    <phoneticPr fontId="2"/>
  </si>
  <si>
    <t>会員厚生</t>
    <rPh sb="0" eb="2">
      <t>カイイン</t>
    </rPh>
    <rPh sb="2" eb="4">
      <t>コウセイ</t>
    </rPh>
    <phoneticPr fontId="2"/>
  </si>
  <si>
    <t>生協クレジット</t>
    <rPh sb="0" eb="2">
      <t>セイキョウ</t>
    </rPh>
    <phoneticPr fontId="2"/>
  </si>
  <si>
    <t>歯科・ドライバーズクレジット</t>
    <rPh sb="0" eb="2">
      <t>シカ</t>
    </rPh>
    <phoneticPr fontId="2"/>
  </si>
  <si>
    <t>昭和58年度</t>
    <rPh sb="0" eb="2">
      <t>ショウワ</t>
    </rPh>
    <rPh sb="4" eb="6">
      <t>ネンド</t>
    </rPh>
    <phoneticPr fontId="2"/>
  </si>
  <si>
    <t>昭和59年度</t>
    <rPh sb="0" eb="2">
      <t>ショウワ</t>
    </rPh>
    <rPh sb="4" eb="6">
      <t>ネンド</t>
    </rPh>
    <phoneticPr fontId="2"/>
  </si>
  <si>
    <t>組合員ローン</t>
    <rPh sb="0" eb="3">
      <t>クミアイイン</t>
    </rPh>
    <phoneticPr fontId="2"/>
  </si>
  <si>
    <t>昭和60年度</t>
    <rPh sb="0" eb="2">
      <t>ショウワ</t>
    </rPh>
    <rPh sb="4" eb="6">
      <t>ネンド</t>
    </rPh>
    <phoneticPr fontId="2"/>
  </si>
  <si>
    <t>昭和61年度</t>
    <rPh sb="0" eb="2">
      <t>ショウワ</t>
    </rPh>
    <rPh sb="4" eb="6">
      <t>ネンド</t>
    </rPh>
    <phoneticPr fontId="2"/>
  </si>
  <si>
    <t>昭和62年度</t>
    <rPh sb="0" eb="2">
      <t>ショウワ</t>
    </rPh>
    <rPh sb="4" eb="6">
      <t>ネンド</t>
    </rPh>
    <phoneticPr fontId="2"/>
  </si>
  <si>
    <t>昭和63年度</t>
    <rPh sb="0" eb="2">
      <t>ショウワ</t>
    </rPh>
    <rPh sb="4" eb="6">
      <t>ネンド</t>
    </rPh>
    <phoneticPr fontId="2"/>
  </si>
  <si>
    <t>平成元年度</t>
    <rPh sb="0" eb="2">
      <t>ヘイセイ</t>
    </rPh>
    <rPh sb="2" eb="4">
      <t>ガンネン</t>
    </rPh>
    <rPh sb="4" eb="5">
      <t>ド</t>
    </rPh>
    <phoneticPr fontId="2"/>
  </si>
  <si>
    <t>平成2年度</t>
    <rPh sb="0" eb="2">
      <t>ヘイセイ</t>
    </rPh>
    <rPh sb="3" eb="4">
      <t>ネン</t>
    </rPh>
    <rPh sb="4" eb="5">
      <t>ド</t>
    </rPh>
    <phoneticPr fontId="2"/>
  </si>
  <si>
    <t>平成3年度</t>
    <rPh sb="0" eb="2">
      <t>ヘイセイ</t>
    </rPh>
    <rPh sb="3" eb="4">
      <t>ネン</t>
    </rPh>
    <rPh sb="4" eb="5">
      <t>ド</t>
    </rPh>
    <phoneticPr fontId="2"/>
  </si>
  <si>
    <t>平成4年度</t>
    <rPh sb="0" eb="2">
      <t>ヘイセイ</t>
    </rPh>
    <rPh sb="3" eb="4">
      <t>ネン</t>
    </rPh>
    <rPh sb="4" eb="5">
      <t>ド</t>
    </rPh>
    <phoneticPr fontId="2"/>
  </si>
  <si>
    <t>平成5年度</t>
    <rPh sb="0" eb="2">
      <t>ヘイセイ</t>
    </rPh>
    <rPh sb="3" eb="4">
      <t>ネン</t>
    </rPh>
    <rPh sb="4" eb="5">
      <t>ド</t>
    </rPh>
    <phoneticPr fontId="2"/>
  </si>
  <si>
    <t>平成6年度</t>
    <rPh sb="0" eb="2">
      <t>ヘイセイ</t>
    </rPh>
    <rPh sb="3" eb="4">
      <t>ネン</t>
    </rPh>
    <rPh sb="4" eb="5">
      <t>ド</t>
    </rPh>
    <phoneticPr fontId="2"/>
  </si>
  <si>
    <t>平成7年度</t>
    <rPh sb="0" eb="2">
      <t>ヘイセイ</t>
    </rPh>
    <rPh sb="3" eb="4">
      <t>ネン</t>
    </rPh>
    <rPh sb="4" eb="5">
      <t>ド</t>
    </rPh>
    <phoneticPr fontId="2"/>
  </si>
  <si>
    <t>平成8年度</t>
    <rPh sb="0" eb="2">
      <t>ヘイセイ</t>
    </rPh>
    <rPh sb="3" eb="4">
      <t>ネン</t>
    </rPh>
    <rPh sb="4" eb="5">
      <t>ド</t>
    </rPh>
    <phoneticPr fontId="2"/>
  </si>
  <si>
    <t>平成9年度</t>
    <rPh sb="0" eb="2">
      <t>ヘイセイ</t>
    </rPh>
    <rPh sb="3" eb="4">
      <t>ネン</t>
    </rPh>
    <rPh sb="4" eb="5">
      <t>ド</t>
    </rPh>
    <phoneticPr fontId="2"/>
  </si>
  <si>
    <t>平成10年度</t>
    <rPh sb="0" eb="2">
      <t>ヘイセイ</t>
    </rPh>
    <rPh sb="4" eb="5">
      <t>ネン</t>
    </rPh>
    <rPh sb="5" eb="6">
      <t>ド</t>
    </rPh>
    <phoneticPr fontId="2"/>
  </si>
  <si>
    <t>信用ローン</t>
    <rPh sb="0" eb="2">
      <t>シンヨウ</t>
    </rPh>
    <phoneticPr fontId="2"/>
  </si>
  <si>
    <t>免許ローン</t>
    <rPh sb="0" eb="2">
      <t>メンキョ</t>
    </rPh>
    <phoneticPr fontId="2"/>
  </si>
  <si>
    <t>車検ローン</t>
    <rPh sb="0" eb="2">
      <t>シャケン</t>
    </rPh>
    <phoneticPr fontId="2"/>
  </si>
  <si>
    <t>コープカード</t>
    <phoneticPr fontId="2"/>
  </si>
  <si>
    <t>コープカードたばこ</t>
    <phoneticPr fontId="2"/>
  </si>
  <si>
    <t>フリーローン</t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</si>
  <si>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</si>
  <si>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</si>
  <si>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</si>
  <si>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</si>
  <si>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平成15年度</t>
    <rPh sb="0" eb="2">
      <t>ヘイセイ</t>
    </rPh>
    <rPh sb="4" eb="5">
      <t>ネン</t>
    </rPh>
    <rPh sb="5" eb="6">
      <t>ド</t>
    </rPh>
    <phoneticPr fontId="2"/>
  </si>
  <si>
    <t>平成16年度</t>
    <rPh sb="0" eb="2">
      <t>ヘイセイ</t>
    </rPh>
    <rPh sb="4" eb="5">
      <t>ネン</t>
    </rPh>
    <rPh sb="5" eb="6">
      <t>ド</t>
    </rPh>
    <phoneticPr fontId="2"/>
  </si>
  <si>
    <t>平成17年度</t>
    <rPh sb="0" eb="2">
      <t>ヘイセイ</t>
    </rPh>
    <rPh sb="4" eb="5">
      <t>ネン</t>
    </rPh>
    <rPh sb="5" eb="6">
      <t>ド</t>
    </rPh>
    <phoneticPr fontId="2"/>
  </si>
  <si>
    <t>平成18年度</t>
    <rPh sb="0" eb="2">
      <t>ヘイセイ</t>
    </rPh>
    <rPh sb="4" eb="5">
      <t>ネン</t>
    </rPh>
    <rPh sb="5" eb="6">
      <t>ド</t>
    </rPh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</si>
  <si>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</si>
  <si>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</si>
  <si>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</si>
  <si>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坂本</t>
    <rPh sb="0" eb="2">
      <t>サカモトサカモト</t>
    </rPh>
    <phoneticPr fontId="2"/>
  </si>
  <si>
    <t>総務</t>
    <rPh sb="0" eb="2">
      <t>ソウムソウム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</si>
  <si>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</si>
  <si>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</si>
  <si>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</si>
  <si>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</si>
  <si>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</si>
  <si>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</si>
  <si>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</si>
  <si>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</si>
  <si>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</si>
  <si>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事業剰余金</t>
    <rPh sb="0" eb="2">
      <t>ジギョウ</t>
    </rPh>
    <rPh sb="2" eb="4">
      <t>ジョウヨ</t>
    </rPh>
    <rPh sb="4" eb="5">
      <t>キン</t>
    </rPh>
    <phoneticPr fontId="2"/>
  </si>
  <si>
    <t>昭和46年度(1971)</t>
    <rPh sb="0" eb="2">
      <t>ショウワ</t>
    </rPh>
    <rPh sb="4" eb="6">
      <t>ネンド</t>
    </rPh>
    <phoneticPr fontId="2"/>
  </si>
  <si>
    <t>昭和49年度(1974)</t>
    <rPh sb="0" eb="2">
      <t>ショウワ</t>
    </rPh>
    <rPh sb="4" eb="6">
      <t>ネンド</t>
    </rPh>
    <phoneticPr fontId="2"/>
  </si>
  <si>
    <t>昭和50年度(1975)</t>
    <rPh sb="0" eb="2">
      <t>ショウワ</t>
    </rPh>
    <rPh sb="4" eb="6">
      <t>ネンド</t>
    </rPh>
    <phoneticPr fontId="2"/>
  </si>
  <si>
    <t>昭和51年度(1976)</t>
    <rPh sb="0" eb="2">
      <t>ショウワ</t>
    </rPh>
    <rPh sb="4" eb="6">
      <t>ネンド</t>
    </rPh>
    <phoneticPr fontId="2"/>
  </si>
  <si>
    <t>昭和52年度(1977)</t>
    <rPh sb="0" eb="2">
      <t>ショウワ</t>
    </rPh>
    <rPh sb="4" eb="6">
      <t>ネンド</t>
    </rPh>
    <phoneticPr fontId="2"/>
  </si>
  <si>
    <t>昭和53年度(1978)</t>
    <rPh sb="0" eb="2">
      <t>ショウワ</t>
    </rPh>
    <rPh sb="4" eb="6">
      <t>ネンド</t>
    </rPh>
    <phoneticPr fontId="2"/>
  </si>
  <si>
    <t>昭和54年度(1979)</t>
    <rPh sb="0" eb="2">
      <t>ショウワ</t>
    </rPh>
    <rPh sb="4" eb="6">
      <t>ネンド</t>
    </rPh>
    <phoneticPr fontId="2"/>
  </si>
  <si>
    <t>昭和55年度(1980)</t>
    <rPh sb="0" eb="2">
      <t>ショウワ</t>
    </rPh>
    <rPh sb="4" eb="6">
      <t>ネンド</t>
    </rPh>
    <phoneticPr fontId="2"/>
  </si>
  <si>
    <t>昭和56年度(1981)</t>
    <rPh sb="0" eb="2">
      <t>ショウワ</t>
    </rPh>
    <rPh sb="4" eb="6">
      <t>ネンド</t>
    </rPh>
    <phoneticPr fontId="2"/>
  </si>
  <si>
    <t>昭和57年度(1982)</t>
    <rPh sb="0" eb="2">
      <t>ショウワ</t>
    </rPh>
    <rPh sb="4" eb="6">
      <t>ネンド</t>
    </rPh>
    <phoneticPr fontId="2"/>
  </si>
  <si>
    <t>昭和58年度(1983)</t>
    <rPh sb="0" eb="2">
      <t>ショウワ</t>
    </rPh>
    <rPh sb="4" eb="5">
      <t>ネン</t>
    </rPh>
    <rPh sb="5" eb="6">
      <t>ド</t>
    </rPh>
    <phoneticPr fontId="2"/>
  </si>
  <si>
    <t>昭和59年度(1984)</t>
    <rPh sb="0" eb="2">
      <t>ショウワ</t>
    </rPh>
    <rPh sb="4" eb="6">
      <t>ネンド</t>
    </rPh>
    <phoneticPr fontId="2"/>
  </si>
  <si>
    <t>昭和60年度(1985)</t>
    <rPh sb="0" eb="2">
      <t>ショウワ</t>
    </rPh>
    <rPh sb="4" eb="6">
      <t>ネンド</t>
    </rPh>
    <phoneticPr fontId="2"/>
  </si>
  <si>
    <t>昭和61年度(1986)</t>
    <rPh sb="0" eb="2">
      <t>ショウワ</t>
    </rPh>
    <rPh sb="4" eb="6">
      <t>ネンド</t>
    </rPh>
    <phoneticPr fontId="2"/>
  </si>
  <si>
    <t>昭和62年度(1987)</t>
    <rPh sb="0" eb="2">
      <t>ショウワ</t>
    </rPh>
    <rPh sb="4" eb="6">
      <t>ネンド</t>
    </rPh>
    <phoneticPr fontId="2"/>
  </si>
  <si>
    <t>昭和63年度(1988)</t>
    <rPh sb="0" eb="2">
      <t>ショウワ</t>
    </rPh>
    <rPh sb="4" eb="6">
      <t>ネンド</t>
    </rPh>
    <phoneticPr fontId="2"/>
  </si>
  <si>
    <t>平成元年度(1989)</t>
    <rPh sb="0" eb="2">
      <t>ヘイセイ</t>
    </rPh>
    <rPh sb="2" eb="4">
      <t>ガンネン</t>
    </rPh>
    <rPh sb="4" eb="5">
      <t>ド</t>
    </rPh>
    <phoneticPr fontId="2"/>
  </si>
  <si>
    <t>平成2年度(1990)</t>
    <rPh sb="0" eb="2">
      <t>ヘイセイ</t>
    </rPh>
    <rPh sb="3" eb="5">
      <t>ネンド</t>
    </rPh>
    <phoneticPr fontId="2"/>
  </si>
  <si>
    <t>平成3年度(1991)</t>
    <rPh sb="0" eb="2">
      <t>ヘイセイ</t>
    </rPh>
    <rPh sb="3" eb="5">
      <t>ネンド</t>
    </rPh>
    <phoneticPr fontId="2"/>
  </si>
  <si>
    <t>平成4年度(1992)</t>
    <rPh sb="0" eb="2">
      <t>ヘイセイ</t>
    </rPh>
    <rPh sb="3" eb="5">
      <t>ネンド</t>
    </rPh>
    <phoneticPr fontId="2"/>
  </si>
  <si>
    <t>平成5年度(1993)</t>
    <rPh sb="0" eb="2">
      <t>ヘイセイ</t>
    </rPh>
    <rPh sb="3" eb="5">
      <t>ネンド</t>
    </rPh>
    <phoneticPr fontId="2"/>
  </si>
  <si>
    <t>平成6年度(1994)</t>
    <rPh sb="0" eb="2">
      <t>ヘイセイ</t>
    </rPh>
    <rPh sb="3" eb="5">
      <t>ネンド</t>
    </rPh>
    <phoneticPr fontId="2"/>
  </si>
  <si>
    <t>平成7年度(1995)</t>
    <rPh sb="0" eb="2">
      <t>ヘイセイ</t>
    </rPh>
    <rPh sb="3" eb="5">
      <t>ネンド</t>
    </rPh>
    <phoneticPr fontId="2"/>
  </si>
  <si>
    <t>平成8年度(1996)</t>
    <rPh sb="0" eb="2">
      <t>ヘイセイ</t>
    </rPh>
    <rPh sb="3" eb="5">
      <t>ネンド</t>
    </rPh>
    <phoneticPr fontId="2"/>
  </si>
  <si>
    <t>平成9年度(1997)</t>
    <rPh sb="0" eb="2">
      <t>ヘイセイ</t>
    </rPh>
    <rPh sb="3" eb="5">
      <t>ネンド</t>
    </rPh>
    <phoneticPr fontId="2"/>
  </si>
  <si>
    <t>平成10年度(1998)</t>
    <rPh sb="0" eb="2">
      <t>ヘイセイ</t>
    </rPh>
    <rPh sb="4" eb="6">
      <t>ネンド</t>
    </rPh>
    <phoneticPr fontId="2"/>
  </si>
  <si>
    <t>平成11年度(1999)</t>
    <rPh sb="0" eb="2">
      <t>ヘイセイ</t>
    </rPh>
    <rPh sb="4" eb="6">
      <t>ネンド</t>
    </rPh>
    <phoneticPr fontId="2"/>
  </si>
  <si>
    <t>平成12年度(2000)</t>
    <rPh sb="0" eb="2">
      <t>ヘイセイ</t>
    </rPh>
    <rPh sb="4" eb="6">
      <t>ネンド</t>
    </rPh>
    <phoneticPr fontId="2"/>
  </si>
  <si>
    <t>平成13年度(2001)</t>
    <rPh sb="0" eb="2">
      <t>ヘイセイ</t>
    </rPh>
    <rPh sb="4" eb="6">
      <t>ネンド</t>
    </rPh>
    <phoneticPr fontId="2"/>
  </si>
  <si>
    <t>平成14年度(2002)</t>
    <rPh sb="0" eb="2">
      <t>ヘイセイ</t>
    </rPh>
    <rPh sb="4" eb="6">
      <t>ネンド</t>
    </rPh>
    <phoneticPr fontId="2"/>
  </si>
  <si>
    <t>平成15年(2003)</t>
    <rPh sb="0" eb="2">
      <t>ヘイセイ</t>
    </rPh>
    <rPh sb="4" eb="5">
      <t>ネン</t>
    </rPh>
    <phoneticPr fontId="2"/>
  </si>
  <si>
    <t>平成16年(2004)</t>
    <rPh sb="0" eb="2">
      <t>ヘイセイ</t>
    </rPh>
    <rPh sb="4" eb="5">
      <t>ネン</t>
    </rPh>
    <phoneticPr fontId="2"/>
  </si>
  <si>
    <t>平成17年度(2005)</t>
    <rPh sb="0" eb="2">
      <t>ヘイセイ</t>
    </rPh>
    <rPh sb="4" eb="6">
      <t>ネンド</t>
    </rPh>
    <phoneticPr fontId="2"/>
  </si>
  <si>
    <t>平成18年度(2006)</t>
    <rPh sb="0" eb="2">
      <t>ヘイセイ</t>
    </rPh>
    <rPh sb="4" eb="5">
      <t>ネン</t>
    </rPh>
    <rPh sb="5" eb="6">
      <t>ド</t>
    </rPh>
    <phoneticPr fontId="2"/>
  </si>
  <si>
    <t>平成19年度(2007)</t>
    <rPh sb="0" eb="2">
      <t>ヘイセイ</t>
    </rPh>
    <rPh sb="4" eb="6">
      <t>ネンド</t>
    </rPh>
    <phoneticPr fontId="2"/>
  </si>
  <si>
    <t>平成20年度(2008)</t>
    <rPh sb="0" eb="2">
      <t>ヘイセイ</t>
    </rPh>
    <rPh sb="4" eb="6">
      <t>ネンド</t>
    </rPh>
    <phoneticPr fontId="2"/>
  </si>
  <si>
    <t>平成21年度(2009)</t>
    <rPh sb="0" eb="2">
      <t>ヘイセイ</t>
    </rPh>
    <rPh sb="4" eb="6">
      <t>ネンド</t>
    </rPh>
    <phoneticPr fontId="2"/>
  </si>
  <si>
    <t>平成22年度(2010)</t>
    <rPh sb="0" eb="2">
      <t>ヘイセイ</t>
    </rPh>
    <rPh sb="4" eb="6">
      <t>ネンド</t>
    </rPh>
    <phoneticPr fontId="2"/>
  </si>
  <si>
    <t>平成23年度(2011)</t>
    <rPh sb="0" eb="2">
      <t>ヘイセイ</t>
    </rPh>
    <rPh sb="4" eb="6">
      <t>ネンド</t>
    </rPh>
    <phoneticPr fontId="2"/>
  </si>
  <si>
    <t>平成24年度(2012)</t>
    <rPh sb="0" eb="2">
      <t>ヘイセイ</t>
    </rPh>
    <rPh sb="4" eb="6">
      <t>ネンド</t>
    </rPh>
    <phoneticPr fontId="2"/>
  </si>
  <si>
    <t>平成25年度(2013)</t>
    <rPh sb="0" eb="2">
      <t>ヘイセイ</t>
    </rPh>
    <rPh sb="4" eb="6">
      <t>ネンド</t>
    </rPh>
    <phoneticPr fontId="2"/>
  </si>
  <si>
    <t>平成26年度(2014)</t>
    <rPh sb="0" eb="2">
      <t>ヘイセイ</t>
    </rPh>
    <rPh sb="4" eb="6">
      <t>ネンド</t>
    </rPh>
    <phoneticPr fontId="2"/>
  </si>
  <si>
    <t>平成27年度(2015)</t>
    <rPh sb="0" eb="2">
      <t>ヘイセイ</t>
    </rPh>
    <rPh sb="4" eb="6">
      <t>ネンド</t>
    </rPh>
    <phoneticPr fontId="2"/>
  </si>
  <si>
    <t>平成28年度(2016)</t>
    <rPh sb="0" eb="2">
      <t>ヘイセイ</t>
    </rPh>
    <rPh sb="4" eb="6">
      <t>ネンド</t>
    </rPh>
    <phoneticPr fontId="2"/>
  </si>
  <si>
    <t>平成29年度(2017)</t>
    <rPh sb="0" eb="2">
      <t>ヘイセイ</t>
    </rPh>
    <rPh sb="4" eb="6">
      <t>ネンド</t>
    </rPh>
    <phoneticPr fontId="2"/>
  </si>
  <si>
    <t>平成30年度(2018)</t>
    <rPh sb="0" eb="2">
      <t>ヘイセイ</t>
    </rPh>
    <rPh sb="4" eb="6">
      <t>ネンド</t>
    </rPh>
    <phoneticPr fontId="2"/>
  </si>
  <si>
    <t/>
  </si>
  <si>
    <t>1971年度</t>
    <rPh sb="4" eb="6">
      <t>ネンド</t>
    </rPh>
    <phoneticPr fontId="2"/>
  </si>
  <si>
    <t>1974年度</t>
    <rPh sb="4" eb="6">
      <t>ネンド</t>
    </rPh>
    <phoneticPr fontId="2"/>
  </si>
  <si>
    <t>1975年度</t>
    <rPh sb="4" eb="6">
      <t>ネンド</t>
    </rPh>
    <phoneticPr fontId="2"/>
  </si>
  <si>
    <t>1976年度</t>
    <rPh sb="4" eb="6">
      <t>ネンド</t>
    </rPh>
    <phoneticPr fontId="2"/>
  </si>
  <si>
    <t>1977年度</t>
    <rPh sb="4" eb="6">
      <t>ネンド</t>
    </rPh>
    <phoneticPr fontId="2"/>
  </si>
  <si>
    <t>1978年度</t>
    <rPh sb="4" eb="6">
      <t>ネンド</t>
    </rPh>
    <phoneticPr fontId="2"/>
  </si>
  <si>
    <t>1979年度</t>
    <rPh sb="4" eb="6">
      <t>ネンド</t>
    </rPh>
    <phoneticPr fontId="2"/>
  </si>
  <si>
    <t>1980年度</t>
    <rPh sb="4" eb="6">
      <t>ネンド</t>
    </rPh>
    <phoneticPr fontId="2"/>
  </si>
  <si>
    <t>1981年度</t>
    <rPh sb="4" eb="6">
      <t>ネンド</t>
    </rPh>
    <phoneticPr fontId="2"/>
  </si>
  <si>
    <t>1982年度</t>
    <rPh sb="4" eb="6">
      <t>ネンド</t>
    </rPh>
    <phoneticPr fontId="2"/>
  </si>
  <si>
    <t>1983年度</t>
    <rPh sb="4" eb="6">
      <t>ネンド</t>
    </rPh>
    <phoneticPr fontId="2"/>
  </si>
  <si>
    <t>1984年度</t>
    <rPh sb="4" eb="6">
      <t>ネンド</t>
    </rPh>
    <phoneticPr fontId="2"/>
  </si>
  <si>
    <t>1985年度</t>
    <rPh sb="4" eb="6">
      <t>ネンド</t>
    </rPh>
    <phoneticPr fontId="2"/>
  </si>
  <si>
    <t>1986年度</t>
    <rPh sb="4" eb="6">
      <t>ネンド</t>
    </rPh>
    <phoneticPr fontId="2"/>
  </si>
  <si>
    <t>1987年度</t>
    <rPh sb="4" eb="6">
      <t>ネンド</t>
    </rPh>
    <phoneticPr fontId="2"/>
  </si>
  <si>
    <t>1988年度</t>
    <rPh sb="4" eb="6">
      <t>ネンド</t>
    </rPh>
    <phoneticPr fontId="2"/>
  </si>
  <si>
    <t>1989年度</t>
    <rPh sb="4" eb="6">
      <t>ネンド</t>
    </rPh>
    <phoneticPr fontId="2"/>
  </si>
  <si>
    <t>1990年度</t>
    <rPh sb="4" eb="6">
      <t>ネンド</t>
    </rPh>
    <phoneticPr fontId="2"/>
  </si>
  <si>
    <t>1991年度</t>
    <rPh sb="4" eb="6">
      <t>ネンド</t>
    </rPh>
    <phoneticPr fontId="2"/>
  </si>
  <si>
    <t>1992年度</t>
    <rPh sb="4" eb="6">
      <t>ネンド</t>
    </rPh>
    <phoneticPr fontId="2"/>
  </si>
  <si>
    <t>1993年度</t>
    <rPh sb="4" eb="6">
      <t>ネンド</t>
    </rPh>
    <phoneticPr fontId="2"/>
  </si>
  <si>
    <t>1994年度</t>
    <rPh sb="4" eb="6">
      <t>ネンド</t>
    </rPh>
    <phoneticPr fontId="2"/>
  </si>
  <si>
    <t>1995年度</t>
    <rPh sb="4" eb="6">
      <t>ネンド</t>
    </rPh>
    <phoneticPr fontId="2"/>
  </si>
  <si>
    <t>1996年度</t>
    <rPh sb="4" eb="6">
      <t>ネンド</t>
    </rPh>
    <phoneticPr fontId="2"/>
  </si>
  <si>
    <t>1997年度</t>
    <rPh sb="4" eb="6">
      <t>ネンド</t>
    </rPh>
    <phoneticPr fontId="2"/>
  </si>
  <si>
    <t>1998年度</t>
    <rPh sb="4" eb="6">
      <t>ネンド</t>
    </rPh>
    <phoneticPr fontId="2"/>
  </si>
  <si>
    <t>1999年度</t>
    <rPh sb="4" eb="6">
      <t>ネンド</t>
    </rPh>
    <phoneticPr fontId="2"/>
  </si>
  <si>
    <t>2000年度</t>
    <rPh sb="4" eb="6">
      <t>ネンド</t>
    </rPh>
    <phoneticPr fontId="2"/>
  </si>
  <si>
    <t>2001年度</t>
    <rPh sb="4" eb="6">
      <t>ネンド</t>
    </rPh>
    <phoneticPr fontId="2"/>
  </si>
  <si>
    <t>2002年度</t>
    <rPh sb="4" eb="6">
      <t>ネンド</t>
    </rPh>
    <phoneticPr fontId="2"/>
  </si>
  <si>
    <t>2003年度</t>
    <rPh sb="4" eb="6">
      <t>ネンド</t>
    </rPh>
    <phoneticPr fontId="2"/>
  </si>
  <si>
    <t>2004年度</t>
    <rPh sb="4" eb="6">
      <t>ネンド</t>
    </rPh>
    <phoneticPr fontId="2"/>
  </si>
  <si>
    <t>2005年度</t>
    <rPh sb="4" eb="6">
      <t>ネンド</t>
    </rPh>
    <phoneticPr fontId="2"/>
  </si>
  <si>
    <t>2006年度</t>
    <rPh sb="4" eb="6">
      <t>ネンド</t>
    </rPh>
    <phoneticPr fontId="2"/>
  </si>
  <si>
    <t>2007年度</t>
    <rPh sb="4" eb="6">
      <t>ネンド</t>
    </rPh>
    <phoneticPr fontId="2"/>
  </si>
  <si>
    <t>2008年度</t>
    <rPh sb="4" eb="6">
      <t>ネンド</t>
    </rPh>
    <phoneticPr fontId="2"/>
  </si>
  <si>
    <t>2009年度</t>
    <rPh sb="4" eb="6">
      <t>ネンド</t>
    </rPh>
    <phoneticPr fontId="2"/>
  </si>
  <si>
    <t>2010年度</t>
    <rPh sb="4" eb="6">
      <t>ネンド</t>
    </rPh>
    <phoneticPr fontId="2"/>
  </si>
  <si>
    <t>2011年度</t>
    <rPh sb="4" eb="6">
      <t>ネンド</t>
    </rPh>
    <phoneticPr fontId="2"/>
  </si>
  <si>
    <t>2012年度</t>
    <rPh sb="4" eb="6">
      <t>ネンド</t>
    </rPh>
    <phoneticPr fontId="2"/>
  </si>
  <si>
    <t>2013年度</t>
    <rPh sb="4" eb="6">
      <t>ネンド</t>
    </rPh>
    <phoneticPr fontId="2"/>
  </si>
  <si>
    <t>2014年度</t>
    <rPh sb="4" eb="6">
      <t>ネンド</t>
    </rPh>
    <phoneticPr fontId="2"/>
  </si>
  <si>
    <t>2015年度</t>
    <rPh sb="4" eb="6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</si>
  <si>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</si>
  <si>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</si>
  <si>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t>2018年度</t>
    <rPh sb="4" eb="6">
      <t>ネンド</t>
    </rPh>
    <phoneticPr fontId="2"/>
  </si>
  <si>
    <t>純資産</t>
    <rPh sb="0" eb="3">
      <t>ジュンシサン</t>
    </rPh>
    <phoneticPr fontId="2"/>
  </si>
  <si>
    <t>総資産</t>
    <rPh sb="0" eb="3">
      <t>ソウシサン</t>
    </rPh>
    <phoneticPr fontId="2"/>
  </si>
  <si>
    <t>期中純増減・件数</t>
    <rPh sb="0" eb="2">
      <t>キチュウ</t>
    </rPh>
    <rPh sb="2" eb="4">
      <t>ジュンゾウ</t>
    </rPh>
    <rPh sb="4" eb="5">
      <t>ゲン</t>
    </rPh>
    <rPh sb="6" eb="8">
      <t>ケンスウ</t>
    </rPh>
    <phoneticPr fontId="2"/>
  </si>
  <si>
    <t>期中純増減・金額</t>
    <rPh sb="0" eb="2">
      <t>キチュウ</t>
    </rPh>
    <rPh sb="2" eb="4">
      <t>ジュンゾウ</t>
    </rPh>
    <rPh sb="4" eb="5">
      <t>ゲン</t>
    </rPh>
    <rPh sb="6" eb="8">
      <t>キンガク</t>
    </rPh>
    <phoneticPr fontId="2"/>
  </si>
  <si>
    <t>無担保ローン</t>
    <rPh sb="0" eb="3">
      <t>ムタンポ</t>
    </rPh>
    <phoneticPr fontId="2"/>
  </si>
  <si>
    <t>不動産ローン等</t>
    <rPh sb="0" eb="3">
      <t>フドウサン</t>
    </rPh>
    <rPh sb="6" eb="7">
      <t>トウ</t>
    </rPh>
    <phoneticPr fontId="2"/>
  </si>
  <si>
    <t>オートローン等</t>
    <rPh sb="6" eb="7">
      <t>トウ</t>
    </rPh>
    <phoneticPr fontId="2"/>
  </si>
  <si>
    <t>火災共済貸付等</t>
    <rPh sb="0" eb="2">
      <t>カサイ</t>
    </rPh>
    <rPh sb="2" eb="4">
      <t>キョウサイ</t>
    </rPh>
    <rPh sb="4" eb="6">
      <t>カシツケ</t>
    </rPh>
    <rPh sb="6" eb="7">
      <t>トウ</t>
    </rPh>
    <phoneticPr fontId="2"/>
  </si>
  <si>
    <t>共済会ローン等</t>
    <rPh sb="0" eb="3">
      <t>キョウサイカイ</t>
    </rPh>
    <rPh sb="6" eb="7">
      <t>トウ</t>
    </rPh>
    <phoneticPr fontId="2"/>
  </si>
  <si>
    <t>動産担保貸付</t>
    <rPh sb="0" eb="2">
      <t>ドウサン</t>
    </rPh>
    <rPh sb="2" eb="4">
      <t>タンポ</t>
    </rPh>
    <rPh sb="4" eb="6">
      <t>カシツケ</t>
    </rPh>
    <phoneticPr fontId="2"/>
  </si>
  <si>
    <t>スイッチローン・生活再建資金</t>
    <rPh sb="8" eb="10">
      <t>セイカツ</t>
    </rPh>
    <rPh sb="10" eb="12">
      <t>サイケン</t>
    </rPh>
    <rPh sb="12" eb="14">
      <t>シキン</t>
    </rPh>
    <phoneticPr fontId="2"/>
  </si>
  <si>
    <t>期末残高・件数</t>
    <rPh sb="0" eb="2">
      <t>キマツ</t>
    </rPh>
    <rPh sb="2" eb="4">
      <t>ザンダカ</t>
    </rPh>
    <rPh sb="5" eb="7">
      <t>ケンスウ</t>
    </rPh>
    <phoneticPr fontId="2"/>
  </si>
  <si>
    <t>期末残高・金額</t>
    <rPh sb="0" eb="2">
      <t>キマツ</t>
    </rPh>
    <rPh sb="2" eb="4">
      <t>ザンダカ</t>
    </rPh>
    <rPh sb="5" eb="7">
      <t>キンガク</t>
    </rPh>
    <phoneticPr fontId="2"/>
  </si>
  <si>
    <t>1件平均金額</t>
    <rPh sb="1" eb="2">
      <t>ケン</t>
    </rPh>
    <rPh sb="2" eb="4">
      <t>ヘイキン</t>
    </rPh>
    <rPh sb="4" eb="6">
      <t>キンガク</t>
    </rPh>
    <phoneticPr fontId="2"/>
  </si>
  <si>
    <t>共済会関連貸付</t>
    <rPh sb="0" eb="3">
      <t>キョウサイカイ</t>
    </rPh>
    <rPh sb="3" eb="5">
      <t>カンレン</t>
    </rPh>
    <rPh sb="5" eb="7">
      <t>カシツケ</t>
    </rPh>
    <phoneticPr fontId="2"/>
  </si>
  <si>
    <t>その他</t>
    <rPh sb="2" eb="3">
      <t>タ</t>
    </rPh>
    <phoneticPr fontId="2"/>
  </si>
  <si>
    <t>図9　消費者救済資金貸付制度の概念図</t>
    <phoneticPr fontId="2"/>
  </si>
  <si>
    <t>図10　岩手県信用生協　期末貸付残高（単位：円）</t>
    <rPh sb="0" eb="1">
      <t>ズ</t>
    </rPh>
    <rPh sb="4" eb="7">
      <t>イワテケン</t>
    </rPh>
    <rPh sb="7" eb="9">
      <t>シンヨウ</t>
    </rPh>
    <rPh sb="9" eb="11">
      <t>セイキョウ</t>
    </rPh>
    <rPh sb="12" eb="14">
      <t>キマツ</t>
    </rPh>
    <rPh sb="14" eb="16">
      <t>カシツケ</t>
    </rPh>
    <rPh sb="16" eb="18">
      <t>ザンダカ</t>
    </rPh>
    <rPh sb="19" eb="21">
      <t>タンイ</t>
    </rPh>
    <rPh sb="22" eb="23">
      <t>エン</t>
    </rPh>
    <phoneticPr fontId="2"/>
  </si>
  <si>
    <t>図11　岩手県信用生協　貸付利息収入（単位：円）</t>
    <rPh sb="0" eb="1">
      <t>ズ</t>
    </rPh>
    <rPh sb="4" eb="7">
      <t>イワテケン</t>
    </rPh>
    <rPh sb="7" eb="9">
      <t>シンヨウ</t>
    </rPh>
    <rPh sb="9" eb="11">
      <t>セイキョウ</t>
    </rPh>
    <rPh sb="12" eb="14">
      <t>カシツケ</t>
    </rPh>
    <rPh sb="14" eb="16">
      <t>リソク</t>
    </rPh>
    <rPh sb="16" eb="18">
      <t>シュウニュウ</t>
    </rPh>
    <rPh sb="19" eb="21">
      <t>タンイ</t>
    </rPh>
    <rPh sb="22" eb="23">
      <t>エン</t>
    </rPh>
    <phoneticPr fontId="2"/>
  </si>
  <si>
    <t>図12　岩手県信用生協　期末残高（単位：円）</t>
    <rPh sb="0" eb="1">
      <t>ズ</t>
    </rPh>
    <rPh sb="4" eb="7">
      <t>イワテケン</t>
    </rPh>
    <rPh sb="7" eb="9">
      <t>シンヨウ</t>
    </rPh>
    <rPh sb="9" eb="11">
      <t>セイキョウ</t>
    </rPh>
    <rPh sb="12" eb="14">
      <t>キマツ</t>
    </rPh>
    <rPh sb="14" eb="16">
      <t>ザンダカ</t>
    </rPh>
    <rPh sb="17" eb="19">
      <t>タンイ</t>
    </rPh>
    <rPh sb="20" eb="21">
      <t>エン</t>
    </rPh>
    <phoneticPr fontId="2"/>
  </si>
  <si>
    <t>図13　岩手県信用生協　貸付額・貸付残高（単位：円）</t>
    <rPh sb="0" eb="1">
      <t>ズ</t>
    </rPh>
    <rPh sb="4" eb="7">
      <t>イワテケン</t>
    </rPh>
    <rPh sb="7" eb="9">
      <t>シンヨウ</t>
    </rPh>
    <rPh sb="9" eb="11">
      <t>セイキョウ</t>
    </rPh>
    <rPh sb="12" eb="14">
      <t>カシツケ</t>
    </rPh>
    <rPh sb="14" eb="15">
      <t>ガク</t>
    </rPh>
    <rPh sb="16" eb="18">
      <t>カシツケ</t>
    </rPh>
    <rPh sb="18" eb="20">
      <t>ザンダカ</t>
    </rPh>
    <rPh sb="21" eb="23">
      <t>タンイ</t>
    </rPh>
    <rPh sb="24" eb="25">
      <t>エン</t>
    </rPh>
    <phoneticPr fontId="2"/>
  </si>
  <si>
    <t>図19　岩手県信用生協　期末残高（単位：円）</t>
    <rPh sb="0" eb="1">
      <t>ズ</t>
    </rPh>
    <rPh sb="4" eb="7">
      <t>イワテケン</t>
    </rPh>
    <rPh sb="7" eb="9">
      <t>シンヨウ</t>
    </rPh>
    <rPh sb="9" eb="11">
      <t>セイキョウ</t>
    </rPh>
    <rPh sb="12" eb="14">
      <t>キマツ</t>
    </rPh>
    <rPh sb="14" eb="16">
      <t>ザンダカ</t>
    </rPh>
    <rPh sb="17" eb="19">
      <t>タンイ</t>
    </rPh>
    <rPh sb="20" eb="21">
      <t>エン</t>
    </rPh>
    <phoneticPr fontId="2"/>
  </si>
  <si>
    <t>図22　岩手県信用生協　期末残高（単位：円）</t>
    <rPh sb="0" eb="1">
      <t>ズ</t>
    </rPh>
    <rPh sb="4" eb="7">
      <t>イワテケン</t>
    </rPh>
    <rPh sb="7" eb="9">
      <t>シンヨウ</t>
    </rPh>
    <rPh sb="9" eb="11">
      <t>セイキョウ</t>
    </rPh>
    <rPh sb="12" eb="14">
      <t>キマツ</t>
    </rPh>
    <rPh sb="14" eb="16">
      <t>ザンダカ</t>
    </rPh>
    <rPh sb="17" eb="19">
      <t>タンイ</t>
    </rPh>
    <rPh sb="20" eb="21">
      <t>エン</t>
    </rPh>
    <phoneticPr fontId="2"/>
  </si>
  <si>
    <t>図25　岩手県信用生協　相談件数（単位：件）</t>
    <rPh sb="0" eb="1">
      <t>ズ</t>
    </rPh>
    <rPh sb="4" eb="7">
      <t>イワテケン</t>
    </rPh>
    <rPh sb="7" eb="9">
      <t>シンヨウ</t>
    </rPh>
    <rPh sb="9" eb="11">
      <t>セイキョウ</t>
    </rPh>
    <rPh sb="12" eb="14">
      <t>ソウダン</t>
    </rPh>
    <rPh sb="14" eb="16">
      <t>ケンスウ</t>
    </rPh>
    <rPh sb="17" eb="19">
      <t>タンイ</t>
    </rPh>
    <rPh sb="20" eb="21">
      <t>ケン</t>
    </rPh>
    <phoneticPr fontId="2"/>
  </si>
  <si>
    <t>図31　岩手県信用生協　期末残高（単位：円）</t>
    <rPh sb="0" eb="1">
      <t>ズ</t>
    </rPh>
    <rPh sb="4" eb="7">
      <t>イワテケン</t>
    </rPh>
    <rPh sb="7" eb="9">
      <t>シンヨウ</t>
    </rPh>
    <rPh sb="9" eb="11">
      <t>セイキョウ</t>
    </rPh>
    <rPh sb="12" eb="14">
      <t>キマツ</t>
    </rPh>
    <rPh sb="14" eb="16">
      <t>ザンダカ</t>
    </rPh>
    <rPh sb="17" eb="19">
      <t>タンイ</t>
    </rPh>
    <rPh sb="20" eb="21">
      <t>エン</t>
    </rPh>
    <phoneticPr fontId="2"/>
  </si>
  <si>
    <t>職員体制</t>
  </si>
  <si>
    <t>常駐相談員数　</t>
  </si>
  <si>
    <t>パート職員（受付）</t>
  </si>
  <si>
    <t>その他</t>
  </si>
  <si>
    <t>合計</t>
  </si>
  <si>
    <t>盛岡</t>
  </si>
  <si>
    <t>北上</t>
  </si>
  <si>
    <t>釜石</t>
  </si>
  <si>
    <t>一関</t>
  </si>
  <si>
    <t>八戸</t>
  </si>
  <si>
    <t>青森</t>
  </si>
  <si>
    <t>小計</t>
  </si>
  <si>
    <t>（本部）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</si>
  <si>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</si>
  <si>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</si>
  <si>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</si>
  <si>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</si>
  <si>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</si>
  <si>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</si>
  <si>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</si>
  <si>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</si>
  <si>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</si>
  <si>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</si>
  <si>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</si>
  <si>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</si>
  <si>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本部</t>
  </si>
  <si>
    <t>常駐</t>
  </si>
  <si>
    <t>パート</t>
  </si>
  <si>
    <t>※各年の5月31日時点における職員数である。</t>
  </si>
  <si>
    <t>図32　貸付残高と自己資本比率の推移</t>
  </si>
  <si>
    <t>年度</t>
  </si>
  <si>
    <t>昭和46年度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</si>
  <si>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</si>
  <si>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</si>
  <si>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</si>
  <si>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</si>
  <si>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</si>
  <si>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</si>
  <si>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</si>
  <si>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</si>
  <si>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</si>
  <si>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</si>
  <si>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</si>
  <si>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</si>
  <si>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</si>
  <si>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</si>
  <si>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</si>
  <si>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</si>
  <si>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</si>
  <si>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</si>
  <si>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</si>
  <si>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</si>
  <si>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</si>
  <si>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</si>
  <si>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</si>
  <si>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</si>
  <si>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</si>
  <si>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</si>
  <si>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</si>
  <si>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</si>
  <si>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</si>
  <si>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</si>
  <si>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</si>
  <si>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</si>
  <si>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</si>
  <si>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</si>
  <si>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</si>
  <si>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</si>
  <si>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</si>
  <si>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</si>
  <si>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</si>
  <si>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</si>
  <si>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</si>
  <si>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</si>
  <si>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</si>
  <si>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</si>
  <si>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</si>
  <si>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</si>
  <si>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貸付残高</t>
    <rPh sb="0" eb="2">
      <t>カシツケ</t>
    </rPh>
    <rPh sb="2" eb="4">
      <t>ザンダカ</t>
    </rPh>
    <phoneticPr fontId="1"/>
  </si>
  <si>
    <t>自己資本比率</t>
  </si>
  <si>
    <t>図33　信用生協　職員数（単位：人）</t>
    <rPh sb="0" eb="1">
      <t>ズ</t>
    </rPh>
    <rPh sb="4" eb="6">
      <t>シンヨウ</t>
    </rPh>
    <rPh sb="6" eb="8">
      <t>セイキョウ</t>
    </rPh>
    <rPh sb="9" eb="11">
      <t>ショクイン</t>
    </rPh>
    <rPh sb="11" eb="12">
      <t>スウ</t>
    </rPh>
    <rPh sb="13" eb="15">
      <t>タンイ</t>
    </rPh>
    <rPh sb="16" eb="17">
      <t>ニン</t>
    </rPh>
    <phoneticPr fontId="2"/>
  </si>
  <si>
    <t>図35　償却率の推移（2014年度～2018年度）</t>
  </si>
  <si>
    <t>図36　貸付金に対する経常剰余金・事業剰余金の推移（1981年度～2019年度）</t>
  </si>
  <si>
    <t>図37　貸付金に対する借入利息率・人件費率・物件費率（1981年度～2019年度）</t>
  </si>
  <si>
    <t>図38　出資金・剰余金の推移</t>
  </si>
  <si>
    <t>図39　貸付件数と貸付金額の長期的推移（1982年度～2018年度）</t>
  </si>
  <si>
    <t>図40　人件費・物件費の推移（1982年度～2018年度）</t>
  </si>
  <si>
    <t>図41　相談者の割合（年収別）</t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</si>
  <si>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</si>
  <si>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</si>
  <si>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</si>
  <si>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</si>
  <si>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期中貸付金残高</t>
    <rPh sb="0" eb="2">
      <t>キチュウ</t>
    </rPh>
    <rPh sb="2" eb="4">
      <t>カシツケ</t>
    </rPh>
    <rPh sb="4" eb="5">
      <t>キン</t>
    </rPh>
    <rPh sb="5" eb="7">
      <t>ザンダカ</t>
    </rPh>
    <phoneticPr fontId="2"/>
  </si>
  <si>
    <t>受託事業収入</t>
    <rPh sb="0" eb="2">
      <t>ジュタク</t>
    </rPh>
    <rPh sb="2" eb="4">
      <t>ジギョウ</t>
    </rPh>
    <rPh sb="4" eb="6">
      <t>シュウニュウ</t>
    </rPh>
    <phoneticPr fontId="2"/>
  </si>
  <si>
    <t>補助金収入</t>
    <rPh sb="0" eb="3">
      <t>ホジョキン</t>
    </rPh>
    <rPh sb="3" eb="5">
      <t>シュウニュウ</t>
    </rPh>
    <phoneticPr fontId="2"/>
  </si>
  <si>
    <t>受託事業人件費</t>
    <rPh sb="0" eb="2">
      <t>ジュタク</t>
    </rPh>
    <rPh sb="2" eb="4">
      <t>ジギョウ</t>
    </rPh>
    <rPh sb="4" eb="7">
      <t>ジンケンヒ</t>
    </rPh>
    <phoneticPr fontId="2"/>
  </si>
  <si>
    <t>人件費率</t>
    <rPh sb="0" eb="3">
      <t>ジンケンヒ</t>
    </rPh>
    <rPh sb="3" eb="4">
      <t>リツ</t>
    </rPh>
    <phoneticPr fontId="2"/>
  </si>
  <si>
    <t>受託事業収入・補助金除く</t>
    <rPh sb="0" eb="2">
      <t>ジュタク</t>
    </rPh>
    <rPh sb="2" eb="4">
      <t>ジギョウ</t>
    </rPh>
    <rPh sb="4" eb="6">
      <t>シュウニュウ</t>
    </rPh>
    <rPh sb="7" eb="10">
      <t>ホジョキン</t>
    </rPh>
    <rPh sb="10" eb="11">
      <t>ノゾ</t>
    </rPh>
    <phoneticPr fontId="2"/>
  </si>
  <si>
    <t>実質的受託事業収入除く</t>
    <rPh sb="0" eb="3">
      <t>ジッシツテキ</t>
    </rPh>
    <rPh sb="3" eb="5">
      <t>ジュタク</t>
    </rPh>
    <rPh sb="5" eb="7">
      <t>ジギョウ</t>
    </rPh>
    <rPh sb="7" eb="9">
      <t>シュウニュウ</t>
    </rPh>
    <rPh sb="9" eb="10">
      <t>ノゾ</t>
    </rPh>
    <phoneticPr fontId="2"/>
  </si>
  <si>
    <t>貸付金に対する借入利息</t>
    <rPh sb="0" eb="2">
      <t>カシツケ</t>
    </rPh>
    <rPh sb="2" eb="3">
      <t>キン</t>
    </rPh>
    <rPh sb="4" eb="5">
      <t>タイ</t>
    </rPh>
    <rPh sb="7" eb="9">
      <t>カリイレ</t>
    </rPh>
    <rPh sb="9" eb="11">
      <t>リソク</t>
    </rPh>
    <phoneticPr fontId="2"/>
  </si>
  <si>
    <t>貸付金に対する借入利息率</t>
    <rPh sb="0" eb="2">
      <t>カシツケ</t>
    </rPh>
    <rPh sb="2" eb="3">
      <t>キン</t>
    </rPh>
    <rPh sb="4" eb="5">
      <t>タイ</t>
    </rPh>
    <rPh sb="7" eb="9">
      <t>カリイレ</t>
    </rPh>
    <rPh sb="9" eb="11">
      <t>リソク</t>
    </rPh>
    <rPh sb="11" eb="12">
      <t>リツ</t>
    </rPh>
    <phoneticPr fontId="2"/>
  </si>
  <si>
    <t>貸付金に対する人件費率</t>
    <rPh sb="0" eb="2">
      <t>カシツケ</t>
    </rPh>
    <rPh sb="2" eb="3">
      <t>キン</t>
    </rPh>
    <rPh sb="4" eb="5">
      <t>タイ</t>
    </rPh>
    <rPh sb="7" eb="10">
      <t>ジンケンヒ</t>
    </rPh>
    <rPh sb="10" eb="11">
      <t>リツ</t>
    </rPh>
    <phoneticPr fontId="2"/>
  </si>
  <si>
    <t>貸付金に対する物件費率</t>
    <rPh sb="0" eb="2">
      <t>カシツケ</t>
    </rPh>
    <rPh sb="2" eb="3">
      <t>キン</t>
    </rPh>
    <rPh sb="4" eb="5">
      <t>タイ</t>
    </rPh>
    <rPh sb="7" eb="10">
      <t>ブッケンヒ</t>
    </rPh>
    <rPh sb="10" eb="11">
      <t>リツ</t>
    </rPh>
    <phoneticPr fontId="2"/>
  </si>
  <si>
    <t>1981年</t>
    <rPh sb="4" eb="5">
      <t>ネン</t>
    </rPh>
    <phoneticPr fontId="2"/>
  </si>
  <si>
    <t>1982年</t>
    <rPh sb="4" eb="5">
      <t>ネン</t>
    </rPh>
    <phoneticPr fontId="2"/>
  </si>
  <si>
    <t>1983年</t>
    <rPh sb="4" eb="5">
      <t>ネン</t>
    </rPh>
    <phoneticPr fontId="2"/>
  </si>
  <si>
    <t>1984年</t>
    <rPh sb="4" eb="5">
      <t>ネン</t>
    </rPh>
    <phoneticPr fontId="2"/>
  </si>
  <si>
    <t>1985年</t>
    <rPh sb="4" eb="5">
      <t>ネン</t>
    </rPh>
    <phoneticPr fontId="2"/>
  </si>
  <si>
    <t>1986年</t>
    <rPh sb="4" eb="5">
      <t>ネン</t>
    </rPh>
    <phoneticPr fontId="2"/>
  </si>
  <si>
    <t>1987年</t>
    <rPh sb="4" eb="5">
      <t>ネン</t>
    </rPh>
    <phoneticPr fontId="2"/>
  </si>
  <si>
    <t>1988年</t>
    <rPh sb="4" eb="5">
      <t>ネン</t>
    </rPh>
    <phoneticPr fontId="2"/>
  </si>
  <si>
    <t>1989年</t>
    <rPh sb="4" eb="5">
      <t>ネン</t>
    </rPh>
    <phoneticPr fontId="2"/>
  </si>
  <si>
    <t>1990年</t>
    <rPh sb="4" eb="5">
      <t>ネン</t>
    </rPh>
    <phoneticPr fontId="2"/>
  </si>
  <si>
    <t>1991年</t>
    <rPh sb="4" eb="5">
      <t>ネン</t>
    </rPh>
    <phoneticPr fontId="2"/>
  </si>
  <si>
    <t>1992年</t>
    <rPh sb="4" eb="5">
      <t>ネン</t>
    </rPh>
    <phoneticPr fontId="2"/>
  </si>
  <si>
    <t>1993年</t>
    <rPh sb="4" eb="5">
      <t>ネン</t>
    </rPh>
    <phoneticPr fontId="2"/>
  </si>
  <si>
    <t>1994年</t>
    <rPh sb="4" eb="5">
      <t>ネン</t>
    </rPh>
    <phoneticPr fontId="2"/>
  </si>
  <si>
    <t>1995年</t>
    <rPh sb="4" eb="5">
      <t>ネン</t>
    </rPh>
    <phoneticPr fontId="2"/>
  </si>
  <si>
    <t>1996年</t>
    <rPh sb="4" eb="5">
      <t>ネン</t>
    </rPh>
    <phoneticPr fontId="2"/>
  </si>
  <si>
    <t>1997年</t>
    <rPh sb="4" eb="5">
      <t>ネン</t>
    </rPh>
    <phoneticPr fontId="2"/>
  </si>
  <si>
    <t>1998年</t>
    <rPh sb="4" eb="5">
      <t>ネン</t>
    </rPh>
    <phoneticPr fontId="2"/>
  </si>
  <si>
    <t>1999年</t>
    <rPh sb="4" eb="5">
      <t>ネン</t>
    </rPh>
    <phoneticPr fontId="2"/>
  </si>
  <si>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</si>
  <si>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</si>
  <si>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</si>
  <si>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</si>
  <si>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</si>
  <si>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</si>
  <si>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</si>
  <si>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</si>
  <si>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</si>
  <si>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</si>
  <si>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</si>
  <si>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</si>
  <si>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</si>
  <si>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</si>
  <si>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</si>
  <si>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</si>
  <si>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</si>
  <si>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</si>
  <si>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</si>
  <si>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</si>
  <si>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貸付金に対する経常剰余金比率</t>
    <rPh sb="0" eb="2">
      <t>カシツケ</t>
    </rPh>
    <rPh sb="2" eb="3">
      <t>キン</t>
    </rPh>
    <rPh sb="4" eb="5">
      <t>タイ</t>
    </rPh>
    <rPh sb="7" eb="9">
      <t>ケイジョウ</t>
    </rPh>
    <rPh sb="9" eb="12">
      <t>ジョウヨキン</t>
    </rPh>
    <rPh sb="12" eb="14">
      <t>ヒリツ</t>
    </rPh>
    <phoneticPr fontId="2"/>
  </si>
  <si>
    <t>平均</t>
    <rPh sb="0" eb="2">
      <t>ヘイキン</t>
    </rPh>
    <phoneticPr fontId="2"/>
  </si>
  <si>
    <t>貸付金に対する事業剰余金比率</t>
    <rPh sb="0" eb="2">
      <t>カシツケ</t>
    </rPh>
    <rPh sb="2" eb="3">
      <t>キン</t>
    </rPh>
    <rPh sb="4" eb="5">
      <t>タイ</t>
    </rPh>
    <rPh sb="7" eb="9">
      <t>ジギョウ</t>
    </rPh>
    <rPh sb="9" eb="12">
      <t>ジョウヨキン</t>
    </rPh>
    <rPh sb="12" eb="14">
      <t>ヒリツ</t>
    </rPh>
    <phoneticPr fontId="2"/>
  </si>
  <si>
    <t>償却率</t>
    <rPh sb="0" eb="2">
      <t>ショウキャク</t>
    </rPh>
    <rPh sb="2" eb="3">
      <t>リツ</t>
    </rPh>
    <phoneticPr fontId="2"/>
  </si>
  <si>
    <t>短期借入金に対する利息</t>
    <rPh sb="0" eb="2">
      <t>タンキ</t>
    </rPh>
    <rPh sb="2" eb="4">
      <t>カリイレ</t>
    </rPh>
    <rPh sb="4" eb="5">
      <t>キン</t>
    </rPh>
    <rPh sb="6" eb="7">
      <t>タイ</t>
    </rPh>
    <rPh sb="9" eb="11">
      <t>リソク</t>
    </rPh>
    <phoneticPr fontId="2"/>
  </si>
  <si>
    <t>貸付金に対する事業剰余金</t>
    <rPh sb="0" eb="2">
      <t>カシツケ</t>
    </rPh>
    <rPh sb="2" eb="3">
      <t>キン</t>
    </rPh>
    <rPh sb="4" eb="5">
      <t>タイ</t>
    </rPh>
    <rPh sb="7" eb="9">
      <t>ジギョウ</t>
    </rPh>
    <rPh sb="9" eb="12">
      <t>ジョウヨキン</t>
    </rPh>
    <phoneticPr fontId="2"/>
  </si>
  <si>
    <t>貸付金に対する貸付金利息</t>
    <rPh sb="0" eb="2">
      <t>カシツケ</t>
    </rPh>
    <rPh sb="2" eb="3">
      <t>キン</t>
    </rPh>
    <rPh sb="4" eb="5">
      <t>タイ</t>
    </rPh>
    <rPh sb="7" eb="9">
      <t>カシツケ</t>
    </rPh>
    <rPh sb="9" eb="10">
      <t>キン</t>
    </rPh>
    <rPh sb="10" eb="12">
      <t>リソク</t>
    </rPh>
    <phoneticPr fontId="2"/>
  </si>
  <si>
    <t>★</t>
    <phoneticPr fontId="2"/>
  </si>
  <si>
    <t>債務整理</t>
    <rPh sb="0" eb="2">
      <t>サイム</t>
    </rPh>
    <rPh sb="2" eb="4">
      <t>セイリ</t>
    </rPh>
    <phoneticPr fontId="2"/>
  </si>
  <si>
    <t>生活資金</t>
    <rPh sb="0" eb="2">
      <t>セイカツ</t>
    </rPh>
    <rPh sb="2" eb="4">
      <t>シキン</t>
    </rPh>
    <phoneticPr fontId="2"/>
  </si>
  <si>
    <t>くらし</t>
    <phoneticPr fontId="2"/>
  </si>
  <si>
    <t>債務整理貸付</t>
    <rPh sb="0" eb="2">
      <t>サイム</t>
    </rPh>
    <rPh sb="2" eb="4">
      <t>セイリ</t>
    </rPh>
    <rPh sb="4" eb="6">
      <t>カシツケ</t>
    </rPh>
    <phoneticPr fontId="2"/>
  </si>
  <si>
    <t>生活資金貸付</t>
    <rPh sb="0" eb="2">
      <t>セイカツ</t>
    </rPh>
    <rPh sb="2" eb="4">
      <t>シキン</t>
    </rPh>
    <rPh sb="4" eb="6">
      <t>カシツケ</t>
    </rPh>
    <phoneticPr fontId="2"/>
  </si>
  <si>
    <t>相談</t>
    <rPh sb="0" eb="2">
      <t>ソウダン</t>
    </rPh>
    <phoneticPr fontId="2"/>
  </si>
  <si>
    <t>貸付</t>
    <rPh sb="0" eb="2">
      <t>カシツケ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</si>
</sst>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;&quot;△ &quot;#,##0"/>
    <numFmt numFmtId="178" formatCode="#,##0.0;[Red]\-#,##0.0"/>
    <numFmt numFmtId="179" formatCode="#,##0.00;&quot;△ &quot;#,##0.00"/>
    <numFmt numFmtId="180" formatCode="0.0%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10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0" xfId="0" applyFont="1">
      <alignment vertical="center"/>
    </xf>
    <xf numFmtId="176" fontId="6" fillId="9" borderId="0" xfId="0" applyNumberFormat="1" applyFont="1" applyFill="1">
      <alignment vertical="center"/>
    </xf>
    <xf numFmtId="176" fontId="6" fillId="0" borderId="0" xfId="0" applyNumberFormat="1" applyFont="1">
      <alignment vertical="center"/>
    </xf>
    <xf numFmtId="9" fontId="6" fillId="0" borderId="0" xfId="0" applyNumberFormat="1" applyFont="1">
      <alignment vertical="center"/>
    </xf>
    <xf numFmtId="176" fontId="6" fillId="5" borderId="1" xfId="0" applyNumberFormat="1" applyFont="1" applyFill="1" applyBorder="1">
      <alignment vertical="center"/>
    </xf>
    <xf numFmtId="176" fontId="6" fillId="4" borderId="1" xfId="0" applyNumberFormat="1" applyFont="1" applyFill="1" applyBorder="1">
      <alignment vertical="center"/>
    </xf>
    <xf numFmtId="176" fontId="6" fillId="6" borderId="1" xfId="0" applyNumberFormat="1" applyFont="1" applyFill="1" applyBorder="1">
      <alignment vertical="center"/>
    </xf>
    <xf numFmtId="176" fontId="6" fillId="7" borderId="1" xfId="0" applyNumberFormat="1" applyFont="1" applyFill="1" applyBorder="1">
      <alignment vertical="center"/>
    </xf>
    <xf numFmtId="9" fontId="6" fillId="7" borderId="1" xfId="0" applyNumberFormat="1" applyFont="1" applyFill="1" applyBorder="1">
      <alignment vertical="center"/>
    </xf>
    <xf numFmtId="176" fontId="6" fillId="5" borderId="0" xfId="0" applyNumberFormat="1" applyFont="1" applyFill="1">
      <alignment vertical="center"/>
    </xf>
    <xf numFmtId="176" fontId="6" fillId="4" borderId="0" xfId="0" applyNumberFormat="1" applyFont="1" applyFill="1">
      <alignment vertical="center"/>
    </xf>
    <xf numFmtId="176" fontId="6" fillId="6" borderId="0" xfId="0" applyNumberFormat="1" applyFont="1" applyFill="1">
      <alignment vertical="center"/>
    </xf>
    <xf numFmtId="176" fontId="6" fillId="7" borderId="0" xfId="0" applyNumberFormat="1" applyFont="1" applyFill="1">
      <alignment vertical="center"/>
    </xf>
    <xf numFmtId="9" fontId="6" fillId="7" borderId="0" xfId="0" applyNumberFormat="1" applyFont="1" applyFill="1">
      <alignment vertical="center"/>
    </xf>
    <xf numFmtId="176" fontId="6" fillId="5" borderId="5" xfId="0" applyNumberFormat="1" applyFont="1" applyFill="1" applyBorder="1">
      <alignment vertical="center"/>
    </xf>
    <xf numFmtId="176" fontId="6" fillId="4" borderId="5" xfId="0" applyNumberFormat="1" applyFont="1" applyFill="1" applyBorder="1">
      <alignment vertical="center"/>
    </xf>
    <xf numFmtId="176" fontId="6" fillId="6" borderId="5" xfId="0" applyNumberFormat="1" applyFont="1" applyFill="1" applyBorder="1">
      <alignment vertical="center"/>
    </xf>
    <xf numFmtId="176" fontId="6" fillId="7" borderId="5" xfId="0" applyNumberFormat="1" applyFont="1" applyFill="1" applyBorder="1">
      <alignment vertical="center"/>
    </xf>
    <xf numFmtId="9" fontId="6" fillId="7" borderId="5" xfId="0" applyNumberFormat="1" applyFont="1" applyFill="1" applyBorder="1">
      <alignment vertical="center"/>
    </xf>
    <xf numFmtId="176" fontId="6" fillId="0" borderId="1" xfId="0" applyNumberFormat="1" applyFont="1" applyBorder="1">
      <alignment vertical="center"/>
    </xf>
    <xf numFmtId="176" fontId="6" fillId="2" borderId="1" xfId="0" applyNumberFormat="1" applyFont="1" applyFill="1" applyBorder="1">
      <alignment vertical="center"/>
    </xf>
    <xf numFmtId="0" fontId="6" fillId="2" borderId="0" xfId="0" applyFont="1" applyFill="1">
      <alignment vertical="center"/>
    </xf>
    <xf numFmtId="176" fontId="6" fillId="2" borderId="0" xfId="0" applyNumberFormat="1" applyFont="1" applyFill="1">
      <alignment vertical="center"/>
    </xf>
    <xf numFmtId="9" fontId="6" fillId="2" borderId="0" xfId="0" applyNumberFormat="1" applyFont="1" applyFill="1">
      <alignment vertical="center"/>
    </xf>
    <xf numFmtId="0" fontId="6" fillId="8" borderId="0" xfId="0" applyFont="1" applyFill="1">
      <alignment vertical="center"/>
    </xf>
    <xf numFmtId="176" fontId="6" fillId="8" borderId="0" xfId="0" applyNumberFormat="1" applyFont="1" applyFill="1">
      <alignment vertical="center"/>
    </xf>
    <xf numFmtId="9" fontId="6" fillId="8" borderId="0" xfId="0" applyNumberFormat="1" applyFont="1" applyFill="1">
      <alignment vertical="center"/>
    </xf>
    <xf numFmtId="10" fontId="6" fillId="0" borderId="0" xfId="0" applyNumberFormat="1" applyFont="1">
      <alignment vertical="center"/>
    </xf>
    <xf numFmtId="0" fontId="5" fillId="0" borderId="0" xfId="0" applyFont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8" borderId="4" xfId="0" applyFont="1" applyFill="1" applyBorder="1" applyAlignment="1">
      <alignment vertical="top" wrapText="1"/>
    </xf>
    <xf numFmtId="9" fontId="6" fillId="0" borderId="1" xfId="0" applyNumberFormat="1" applyFont="1" applyBorder="1">
      <alignment vertical="center"/>
    </xf>
    <xf numFmtId="9" fontId="6" fillId="2" borderId="1" xfId="0" applyNumberFormat="1" applyFont="1" applyFill="1" applyBorder="1">
      <alignment vertical="center"/>
    </xf>
    <xf numFmtId="176" fontId="6" fillId="8" borderId="1" xfId="0" applyNumberFormat="1" applyFont="1" applyFill="1" applyBorder="1">
      <alignment vertical="center"/>
    </xf>
    <xf numFmtId="10" fontId="6" fillId="8" borderId="1" xfId="0" applyNumberFormat="1" applyFont="1" applyFill="1" applyBorder="1">
      <alignment vertical="center"/>
    </xf>
    <xf numFmtId="0" fontId="0" fillId="0" borderId="0" xfId="0" applyAlignment="1">
      <alignment vertical="center" wrapText="1"/>
    </xf>
    <xf numFmtId="9" fontId="6" fillId="8" borderId="1" xfId="0" applyNumberFormat="1" applyFont="1" applyFill="1" applyBorder="1">
      <alignment vertical="center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8" borderId="8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8" borderId="1" xfId="0" applyFont="1" applyFill="1" applyBorder="1" applyAlignment="1">
      <alignment vertical="top" wrapText="1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10" fontId="0" fillId="0" borderId="1" xfId="0" applyNumberFormat="1" applyBorder="1">
      <alignment vertical="center"/>
    </xf>
    <xf numFmtId="177" fontId="0" fillId="3" borderId="1" xfId="0" applyNumberFormat="1" applyFill="1" applyBorder="1">
      <alignment vertical="center"/>
    </xf>
    <xf numFmtId="177" fontId="0" fillId="6" borderId="1" xfId="0" applyNumberFormat="1" applyFill="1" applyBorder="1">
      <alignment vertical="center"/>
    </xf>
    <xf numFmtId="177" fontId="7" fillId="6" borderId="1" xfId="0" applyNumberFormat="1" applyFont="1" applyFill="1" applyBorder="1">
      <alignment vertical="center"/>
    </xf>
    <xf numFmtId="14" fontId="7" fillId="0" borderId="1" xfId="0" applyNumberFormat="1" applyFont="1" applyBorder="1">
      <alignment vertical="center"/>
    </xf>
    <xf numFmtId="177" fontId="0" fillId="0" borderId="9" xfId="0" applyNumberFormat="1" applyBorder="1">
      <alignment vertical="center"/>
    </xf>
    <xf numFmtId="0" fontId="5" fillId="0" borderId="1" xfId="0" applyFont="1" applyBorder="1" applyAlignment="1">
      <alignment vertical="top" wrapText="1"/>
    </xf>
    <xf numFmtId="176" fontId="6" fillId="0" borderId="1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 applyAlignment="1">
      <alignment vertical="top" wrapText="1"/>
    </xf>
    <xf numFmtId="0" fontId="8" fillId="0" borderId="0" xfId="0" applyFont="1">
      <alignment vertical="center"/>
    </xf>
    <xf numFmtId="0" fontId="0" fillId="0" borderId="0" xfId="0" applyBorder="1">
      <alignment vertical="center"/>
    </xf>
    <xf numFmtId="3" fontId="0" fillId="0" borderId="0" xfId="0" applyNumberFormat="1" applyBorder="1">
      <alignment vertical="center"/>
    </xf>
    <xf numFmtId="0" fontId="1" fillId="0" borderId="1" xfId="1" applyBorder="1">
      <alignment vertical="center"/>
    </xf>
    <xf numFmtId="38" fontId="1" fillId="0" borderId="1" xfId="2" applyFont="1" applyBorder="1">
      <alignment vertical="center"/>
    </xf>
    <xf numFmtId="178" fontId="1" fillId="0" borderId="1" xfId="2" applyNumberFormat="1" applyFont="1" applyBorder="1">
      <alignment vertical="center"/>
    </xf>
    <xf numFmtId="38" fontId="0" fillId="0" borderId="0" xfId="3" applyFont="1">
      <alignment vertical="center"/>
    </xf>
    <xf numFmtId="10" fontId="0" fillId="0" borderId="0" xfId="4" applyNumberFormat="1" applyFont="1">
      <alignment vertical="center"/>
    </xf>
    <xf numFmtId="9" fontId="0" fillId="0" borderId="0" xfId="4" applyFont="1">
      <alignment vertical="center"/>
    </xf>
    <xf numFmtId="176" fontId="0" fillId="10" borderId="1" xfId="0" applyNumberFormat="1" applyFill="1" applyBorder="1">
      <alignment vertical="center"/>
    </xf>
    <xf numFmtId="177" fontId="0" fillId="10" borderId="1" xfId="0" applyNumberFormat="1" applyFill="1" applyBorder="1">
      <alignment vertical="center"/>
    </xf>
    <xf numFmtId="176" fontId="0" fillId="10" borderId="0" xfId="0" applyNumberFormat="1" applyFill="1">
      <alignment vertical="center"/>
    </xf>
    <xf numFmtId="176" fontId="0" fillId="11" borderId="1" xfId="0" applyNumberFormat="1" applyFill="1" applyBorder="1">
      <alignment vertical="center"/>
    </xf>
    <xf numFmtId="177" fontId="0" fillId="11" borderId="1" xfId="0" applyNumberFormat="1" applyFill="1" applyBorder="1">
      <alignment vertical="center"/>
    </xf>
    <xf numFmtId="176" fontId="0" fillId="11" borderId="0" xfId="0" applyNumberFormat="1" applyFill="1">
      <alignment vertical="center"/>
    </xf>
    <xf numFmtId="176" fontId="0" fillId="0" borderId="10" xfId="0" applyNumberFormat="1" applyBorder="1">
      <alignment vertical="center"/>
    </xf>
    <xf numFmtId="176" fontId="0" fillId="12" borderId="0" xfId="0" applyNumberFormat="1" applyFill="1">
      <alignment vertical="center"/>
    </xf>
    <xf numFmtId="10" fontId="0" fillId="12" borderId="0" xfId="4" applyNumberFormat="1" applyFont="1" applyFill="1">
      <alignment vertical="center"/>
    </xf>
    <xf numFmtId="0" fontId="0" fillId="12" borderId="0" xfId="0" applyFill="1">
      <alignment vertical="center"/>
    </xf>
    <xf numFmtId="179" fontId="0" fillId="0" borderId="0" xfId="0" applyNumberFormat="1">
      <alignment vertical="center"/>
    </xf>
    <xf numFmtId="180" fontId="0" fillId="0" borderId="0" xfId="4" applyNumberFormat="1" applyFont="1">
      <alignment vertical="center"/>
    </xf>
  </cellXfs>
  <cellStyles count="5">
    <cellStyle name="パーセント" xfId="4" builtinId="5"/>
    <cellStyle name="桁区切り" xfId="3" builtinId="6"/>
    <cellStyle name="桁区切り 2" xfId="2" xr:uid="{590F4EF6-D2B2-4297-948C-AA52EF12D4C1}"/>
    <cellStyle name="標準" xfId="0" builtinId="0"/>
    <cellStyle name="標準 2" xfId="1" xr:uid="{2324A247-A15F-412B-98F5-E9E168A922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2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貸付額・貸付残高（単位：円）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主要経営指標グラフ!$A$41</c:f>
              <c:strCache>
                <c:ptCount val="1"/>
                <c:pt idx="0">
                  <c:v>貸付額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主要経営指標グラフ!$B$40:$AU$40</c:f>
              <c:strCache>
                <c:ptCount val="46"/>
                <c:pt idx="0">
                  <c:v>1971年度</c:v>
                </c:pt>
                <c:pt idx="1">
                  <c:v>1974年度</c:v>
                </c:pt>
                <c:pt idx="2">
                  <c:v>1975年度</c:v>
                </c:pt>
                <c:pt idx="3">
                  <c:v>1976年度</c:v>
                </c:pt>
                <c:pt idx="4">
                  <c:v>1977年度</c:v>
                </c:pt>
                <c:pt idx="5">
                  <c:v>1978年度</c:v>
                </c:pt>
                <c:pt idx="6">
                  <c:v>1979年度</c:v>
                </c:pt>
                <c:pt idx="7">
                  <c:v>1980年度</c:v>
                </c:pt>
                <c:pt idx="8">
                  <c:v>1981年度</c:v>
                </c:pt>
                <c:pt idx="9">
                  <c:v>1982年度</c:v>
                </c:pt>
                <c:pt idx="10">
                  <c:v>1983年度</c:v>
                </c:pt>
                <c:pt idx="11">
                  <c:v>1984年度</c:v>
                </c:pt>
                <c:pt idx="12">
                  <c:v>1985年度</c:v>
                </c:pt>
                <c:pt idx="13">
                  <c:v>1986年度</c:v>
                </c:pt>
                <c:pt idx="14">
                  <c:v>1987年度</c:v>
                </c:pt>
                <c:pt idx="15">
                  <c:v>1988年度</c:v>
                </c:pt>
                <c:pt idx="16">
                  <c:v>1989年度</c:v>
                </c:pt>
                <c:pt idx="17">
                  <c:v>1990年度</c:v>
                </c:pt>
                <c:pt idx="18">
                  <c:v>1991年度</c:v>
                </c:pt>
                <c:pt idx="19">
                  <c:v>1992年度</c:v>
                </c:pt>
                <c:pt idx="20">
                  <c:v>1993年度</c:v>
                </c:pt>
                <c:pt idx="21">
                  <c:v>1994年度</c:v>
                </c:pt>
                <c:pt idx="22">
                  <c:v>1995年度</c:v>
                </c:pt>
                <c:pt idx="23">
                  <c:v>1996年度</c:v>
                </c:pt>
                <c:pt idx="24">
                  <c:v>1997年度</c:v>
                </c:pt>
                <c:pt idx="25">
                  <c:v>1998年度</c:v>
                </c:pt>
                <c:pt idx="26">
                  <c:v>1999年度</c:v>
                </c:pt>
                <c:pt idx="27">
                  <c:v>2000年度</c:v>
                </c:pt>
                <c:pt idx="28">
                  <c:v>2001年度</c:v>
                </c:pt>
                <c:pt idx="29">
                  <c:v>2002年度</c:v>
                </c:pt>
                <c:pt idx="30">
                  <c:v>2003年度</c:v>
                </c:pt>
                <c:pt idx="31">
                  <c:v>2004年度</c:v>
                </c:pt>
                <c:pt idx="32">
                  <c:v>2005年度</c:v>
                </c:pt>
                <c:pt idx="33">
                  <c:v>2006年度</c:v>
                </c:pt>
                <c:pt idx="34">
                  <c:v>2007年度</c:v>
                </c:pt>
                <c:pt idx="35">
                  <c:v>2008年度</c:v>
                </c:pt>
                <c:pt idx="36">
                  <c:v>2009年度</c:v>
                </c:pt>
                <c:pt idx="37">
                  <c:v>2010年度</c:v>
                </c:pt>
                <c:pt idx="38">
                  <c:v>2011年度</c:v>
                </c:pt>
                <c:pt idx="39">
                  <c:v>2012年度</c:v>
                </c:pt>
                <c:pt idx="40">
                  <c:v>2013年度</c:v>
                </c:pt>
                <c:pt idx="41">
                  <c:v>2014年度</c:v>
                </c:pt>
                <c:pt idx="42">
                  <c:v>2015年度</c:v>
                </c:pt>
                <c:pt idx="43">
                  <c:v>2016年度</c:v>
                </c:pt>
                <c:pt idx="44">
                  <c:v>2017年度</c:v>
                </c:pt>
                <c:pt idx="45">
                  <c:v>2018年度</c:v>
                </c:pt>
              </c:strCache>
            </c:strRef>
          </c:cat>
          <c:val>
            <c:numRef>
              <c:f>主要経営指標グラフ!$B$41:$AU$41</c:f>
              <c:numCache>
                <c:formatCode>#,##0;"△ "#,##0</c:formatCode>
                <c:ptCount val="46"/>
                <c:pt idx="0">
                  <c:v>62754616</c:v>
                </c:pt>
                <c:pt idx="1">
                  <c:v>85231000</c:v>
                </c:pt>
                <c:pt idx="2">
                  <c:v>28349910</c:v>
                </c:pt>
                <c:pt idx="3">
                  <c:v>56295235</c:v>
                </c:pt>
                <c:pt idx="4">
                  <c:v>239120000</c:v>
                </c:pt>
                <c:pt idx="5">
                  <c:v>93026467</c:v>
                </c:pt>
                <c:pt idx="6">
                  <c:v>95361748</c:v>
                </c:pt>
                <c:pt idx="7">
                  <c:v>141283534</c:v>
                </c:pt>
                <c:pt idx="8">
                  <c:v>223481000</c:v>
                </c:pt>
                <c:pt idx="9">
                  <c:v>345195000</c:v>
                </c:pt>
                <c:pt idx="10">
                  <c:v>318390000</c:v>
                </c:pt>
                <c:pt idx="11">
                  <c:v>425057000</c:v>
                </c:pt>
                <c:pt idx="12">
                  <c:v>378837000</c:v>
                </c:pt>
                <c:pt idx="13">
                  <c:v>391500382</c:v>
                </c:pt>
                <c:pt idx="14">
                  <c:v>939810499</c:v>
                </c:pt>
                <c:pt idx="15">
                  <c:v>844576712</c:v>
                </c:pt>
                <c:pt idx="16">
                  <c:v>910664379</c:v>
                </c:pt>
                <c:pt idx="17">
                  <c:v>1152062785</c:v>
                </c:pt>
                <c:pt idx="18">
                  <c:v>1174217244</c:v>
                </c:pt>
                <c:pt idx="19">
                  <c:v>1468917904</c:v>
                </c:pt>
                <c:pt idx="20">
                  <c:v>1568370895</c:v>
                </c:pt>
                <c:pt idx="21">
                  <c:v>1685406692</c:v>
                </c:pt>
                <c:pt idx="22">
                  <c:v>1740071385</c:v>
                </c:pt>
                <c:pt idx="23">
                  <c:v>2030239846</c:v>
                </c:pt>
                <c:pt idx="24">
                  <c:v>1894548868</c:v>
                </c:pt>
                <c:pt idx="25">
                  <c:v>1598050707</c:v>
                </c:pt>
                <c:pt idx="26">
                  <c:v>2185619224</c:v>
                </c:pt>
                <c:pt idx="27">
                  <c:v>2587056542</c:v>
                </c:pt>
                <c:pt idx="28">
                  <c:v>2781119659</c:v>
                </c:pt>
                <c:pt idx="29">
                  <c:v>3188676260</c:v>
                </c:pt>
                <c:pt idx="30">
                  <c:v>3104854114</c:v>
                </c:pt>
                <c:pt idx="31">
                  <c:v>2937431321</c:v>
                </c:pt>
                <c:pt idx="32">
                  <c:v>2530354359</c:v>
                </c:pt>
                <c:pt idx="33">
                  <c:v>2081610000</c:v>
                </c:pt>
                <c:pt idx="34">
                  <c:v>2045613000</c:v>
                </c:pt>
                <c:pt idx="35">
                  <c:v>1218685479</c:v>
                </c:pt>
                <c:pt idx="36">
                  <c:v>1258571171</c:v>
                </c:pt>
                <c:pt idx="37">
                  <c:v>1350180416</c:v>
                </c:pt>
                <c:pt idx="38">
                  <c:v>1237490000</c:v>
                </c:pt>
                <c:pt idx="39">
                  <c:v>910602992</c:v>
                </c:pt>
                <c:pt idx="40">
                  <c:v>654310000</c:v>
                </c:pt>
                <c:pt idx="41">
                  <c:v>752660000</c:v>
                </c:pt>
                <c:pt idx="42">
                  <c:v>639510000</c:v>
                </c:pt>
                <c:pt idx="43">
                  <c:v>508320000</c:v>
                </c:pt>
                <c:pt idx="44">
                  <c:v>425050000</c:v>
                </c:pt>
                <c:pt idx="45">
                  <c:v>508740000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45-42A5-B82B-E51CDFE0939C}"/>
            </c:ext>
          </c:extLst>
        </c:ser>
        <c:ser>
          <c:idx val="1"/>
          <c:order val="1"/>
          <c:tx>
            <c:strRef>
              <c:f>主要経営指標グラフ!$A$42</c:f>
              <c:strCache>
                <c:ptCount val="1"/>
                <c:pt idx="0">
                  <c:v>貸付残高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主要経営指標グラフ!$B$40:$AU$40</c:f>
              <c:strCache>
                <c:ptCount val="46"/>
                <c:pt idx="0">
                  <c:v>1971年度</c:v>
                </c:pt>
                <c:pt idx="1">
                  <c:v>1974年度</c:v>
                </c:pt>
                <c:pt idx="2">
                  <c:v>1975年度</c:v>
                </c:pt>
                <c:pt idx="3">
                  <c:v>1976年度</c:v>
                </c:pt>
                <c:pt idx="4">
                  <c:v>1977年度</c:v>
                </c:pt>
                <c:pt idx="5">
                  <c:v>1978年度</c:v>
                </c:pt>
                <c:pt idx="6">
                  <c:v>1979年度</c:v>
                </c:pt>
                <c:pt idx="7">
                  <c:v>1980年度</c:v>
                </c:pt>
                <c:pt idx="8">
                  <c:v>1981年度</c:v>
                </c:pt>
                <c:pt idx="9">
                  <c:v>1982年度</c:v>
                </c:pt>
                <c:pt idx="10">
                  <c:v>1983年度</c:v>
                </c:pt>
                <c:pt idx="11">
                  <c:v>1984年度</c:v>
                </c:pt>
                <c:pt idx="12">
                  <c:v>1985年度</c:v>
                </c:pt>
                <c:pt idx="13">
                  <c:v>1986年度</c:v>
                </c:pt>
                <c:pt idx="14">
                  <c:v>1987年度</c:v>
                </c:pt>
                <c:pt idx="15">
                  <c:v>1988年度</c:v>
                </c:pt>
                <c:pt idx="16">
                  <c:v>1989年度</c:v>
                </c:pt>
                <c:pt idx="17">
                  <c:v>1990年度</c:v>
                </c:pt>
                <c:pt idx="18">
                  <c:v>1991年度</c:v>
                </c:pt>
                <c:pt idx="19">
                  <c:v>1992年度</c:v>
                </c:pt>
                <c:pt idx="20">
                  <c:v>1993年度</c:v>
                </c:pt>
                <c:pt idx="21">
                  <c:v>1994年度</c:v>
                </c:pt>
                <c:pt idx="22">
                  <c:v>1995年度</c:v>
                </c:pt>
                <c:pt idx="23">
                  <c:v>1996年度</c:v>
                </c:pt>
                <c:pt idx="24">
                  <c:v>1997年度</c:v>
                </c:pt>
                <c:pt idx="25">
                  <c:v>1998年度</c:v>
                </c:pt>
                <c:pt idx="26">
                  <c:v>1999年度</c:v>
                </c:pt>
                <c:pt idx="27">
                  <c:v>2000年度</c:v>
                </c:pt>
                <c:pt idx="28">
                  <c:v>2001年度</c:v>
                </c:pt>
                <c:pt idx="29">
                  <c:v>2002年度</c:v>
                </c:pt>
                <c:pt idx="30">
                  <c:v>2003年度</c:v>
                </c:pt>
                <c:pt idx="31">
                  <c:v>2004年度</c:v>
                </c:pt>
                <c:pt idx="32">
                  <c:v>2005年度</c:v>
                </c:pt>
                <c:pt idx="33">
                  <c:v>2006年度</c:v>
                </c:pt>
                <c:pt idx="34">
                  <c:v>2007年度</c:v>
                </c:pt>
                <c:pt idx="35">
                  <c:v>2008年度</c:v>
                </c:pt>
                <c:pt idx="36">
                  <c:v>2009年度</c:v>
                </c:pt>
                <c:pt idx="37">
                  <c:v>2010年度</c:v>
                </c:pt>
                <c:pt idx="38">
                  <c:v>2011年度</c:v>
                </c:pt>
                <c:pt idx="39">
                  <c:v>2012年度</c:v>
                </c:pt>
                <c:pt idx="40">
                  <c:v>2013年度</c:v>
                </c:pt>
                <c:pt idx="41">
                  <c:v>2014年度</c:v>
                </c:pt>
                <c:pt idx="42">
                  <c:v>2015年度</c:v>
                </c:pt>
                <c:pt idx="43">
                  <c:v>2016年度</c:v>
                </c:pt>
                <c:pt idx="44">
                  <c:v>2017年度</c:v>
                </c:pt>
                <c:pt idx="45">
                  <c:v>2018年度</c:v>
                </c:pt>
              </c:strCache>
            </c:strRef>
          </c:cat>
          <c:val>
            <c:numRef>
              <c:f>主要経営指標グラフ!$B$42:$AU$42</c:f>
              <c:numCache>
                <c:formatCode>#,##0;"△ "#,##0</c:formatCode>
                <c:ptCount val="46"/>
                <c:pt idx="0">
                  <c:v>56467806</c:v>
                </c:pt>
                <c:pt idx="1">
                  <c:v>27852749</c:v>
                </c:pt>
                <c:pt idx="2">
                  <c:v>38742267</c:v>
                </c:pt>
                <c:pt idx="3">
                  <c:v>39729896</c:v>
                </c:pt>
                <c:pt idx="4">
                  <c:v>68839790</c:v>
                </c:pt>
                <c:pt idx="5">
                  <c:v>72944271</c:v>
                </c:pt>
                <c:pt idx="6">
                  <c:v>77292930</c:v>
                </c:pt>
                <c:pt idx="7">
                  <c:v>137603039</c:v>
                </c:pt>
                <c:pt idx="8">
                  <c:v>210117433</c:v>
                </c:pt>
                <c:pt idx="9">
                  <c:v>340906414</c:v>
                </c:pt>
                <c:pt idx="10">
                  <c:v>462114153</c:v>
                </c:pt>
                <c:pt idx="11">
                  <c:v>605317992</c:v>
                </c:pt>
                <c:pt idx="12">
                  <c:v>610811443</c:v>
                </c:pt>
                <c:pt idx="13">
                  <c:v>548117784</c:v>
                </c:pt>
                <c:pt idx="14">
                  <c:v>977261801</c:v>
                </c:pt>
                <c:pt idx="15">
                  <c:v>1148075293</c:v>
                </c:pt>
                <c:pt idx="16">
                  <c:v>1336722065</c:v>
                </c:pt>
                <c:pt idx="17">
                  <c:v>1574665736</c:v>
                </c:pt>
                <c:pt idx="18">
                  <c:v>1909467695</c:v>
                </c:pt>
                <c:pt idx="19">
                  <c:v>2233860907</c:v>
                </c:pt>
                <c:pt idx="20">
                  <c:v>2564628088</c:v>
                </c:pt>
                <c:pt idx="21">
                  <c:v>2932720782</c:v>
                </c:pt>
                <c:pt idx="22">
                  <c:v>3060330824</c:v>
                </c:pt>
                <c:pt idx="23">
                  <c:v>3581582216</c:v>
                </c:pt>
                <c:pt idx="24">
                  <c:v>4003922329</c:v>
                </c:pt>
                <c:pt idx="25">
                  <c:v>4102242138</c:v>
                </c:pt>
                <c:pt idx="26">
                  <c:v>4585975330</c:v>
                </c:pt>
                <c:pt idx="27">
                  <c:v>5415534204</c:v>
                </c:pt>
                <c:pt idx="28">
                  <c:v>6058496101</c:v>
                </c:pt>
                <c:pt idx="29">
                  <c:v>6925468079</c:v>
                </c:pt>
                <c:pt idx="30">
                  <c:v>7566202310</c:v>
                </c:pt>
                <c:pt idx="31">
                  <c:v>7970472842</c:v>
                </c:pt>
                <c:pt idx="32">
                  <c:v>7839237083</c:v>
                </c:pt>
                <c:pt idx="33">
                  <c:v>7465974646</c:v>
                </c:pt>
                <c:pt idx="34">
                  <c:v>7115508024</c:v>
                </c:pt>
                <c:pt idx="35">
                  <c:v>6167948401</c:v>
                </c:pt>
                <c:pt idx="36">
                  <c:v>5334141026</c:v>
                </c:pt>
                <c:pt idx="37">
                  <c:v>4947628206</c:v>
                </c:pt>
                <c:pt idx="38">
                  <c:v>4557057492</c:v>
                </c:pt>
                <c:pt idx="39">
                  <c:v>4070098489</c:v>
                </c:pt>
                <c:pt idx="40">
                  <c:v>3495128155</c:v>
                </c:pt>
                <c:pt idx="41">
                  <c:v>3141588026</c:v>
                </c:pt>
                <c:pt idx="42">
                  <c:v>2815395687</c:v>
                </c:pt>
                <c:pt idx="43">
                  <c:v>2434952629</c:v>
                </c:pt>
                <c:pt idx="44">
                  <c:v>2104718322</c:v>
                </c:pt>
                <c:pt idx="45">
                  <c:v>1894483733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45-42A5-B82B-E51CDFE09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266248"/>
        <c:axId val="425266904"/>
      </c:lineChart>
      <c:catAx>
        <c:axId val="42526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5266904"/>
        <c:crosses val="autoZero"/>
        <c:auto val="1"/>
        <c:lblAlgn val="ctr"/>
        <c:lblOffset val="100"/>
        <c:noMultiLvlLbl val="0"/>
      </c:catAx>
      <c:valAx>
        <c:axId val="42526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5266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ローン種類別期末残高件数（単位：件）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期末残高推移グラフ!$A$65</c:f>
              <c:strCache>
                <c:ptCount val="1"/>
                <c:pt idx="0">
                  <c:v>無担保ローン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期末残高推移グラフ!$B$64:$AT$64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期末残高推移グラフ!$B$65:$AT$65</c:f>
              <c:numCache>
                <c:formatCode>#,##0_ </c:formatCode>
                <c:ptCount val="45"/>
                <c:pt idx="0">
                  <c:v>43</c:v>
                </c:pt>
                <c:pt idx="1">
                  <c:v>12</c:v>
                </c:pt>
                <c:pt idx="2">
                  <c:v>21</c:v>
                </c:pt>
                <c:pt idx="3">
                  <c:v>0</c:v>
                </c:pt>
                <c:pt idx="4">
                  <c:v>15</c:v>
                </c:pt>
                <c:pt idx="5">
                  <c:v>14</c:v>
                </c:pt>
                <c:pt idx="6">
                  <c:v>42</c:v>
                </c:pt>
                <c:pt idx="7">
                  <c:v>65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188</c:v>
                </c:pt>
                <c:pt idx="12">
                  <c:v>161</c:v>
                </c:pt>
                <c:pt idx="13">
                  <c:v>131</c:v>
                </c:pt>
                <c:pt idx="14">
                  <c:v>101</c:v>
                </c:pt>
                <c:pt idx="15">
                  <c:v>125</c:v>
                </c:pt>
                <c:pt idx="16">
                  <c:v>205</c:v>
                </c:pt>
                <c:pt idx="17">
                  <c:v>340</c:v>
                </c:pt>
                <c:pt idx="18">
                  <c:v>548</c:v>
                </c:pt>
                <c:pt idx="19">
                  <c:v>707</c:v>
                </c:pt>
                <c:pt idx="20">
                  <c:v>866</c:v>
                </c:pt>
                <c:pt idx="21">
                  <c:v>1012</c:v>
                </c:pt>
                <c:pt idx="22">
                  <c:v>1337</c:v>
                </c:pt>
                <c:pt idx="23">
                  <c:v>1616</c:v>
                </c:pt>
                <c:pt idx="24">
                  <c:v>1792</c:v>
                </c:pt>
                <c:pt idx="25">
                  <c:v>2013</c:v>
                </c:pt>
                <c:pt idx="26">
                  <c:v>2435</c:v>
                </c:pt>
                <c:pt idx="27">
                  <c:v>2832</c:v>
                </c:pt>
                <c:pt idx="28">
                  <c:v>3241</c:v>
                </c:pt>
                <c:pt idx="29">
                  <c:v>3664</c:v>
                </c:pt>
                <c:pt idx="30">
                  <c:v>3920</c:v>
                </c:pt>
                <c:pt idx="31">
                  <c:v>3939</c:v>
                </c:pt>
                <c:pt idx="32">
                  <c:v>3958</c:v>
                </c:pt>
                <c:pt idx="33">
                  <c:v>3801</c:v>
                </c:pt>
                <c:pt idx="34">
                  <c:v>3533</c:v>
                </c:pt>
                <c:pt idx="35">
                  <c:v>3236</c:v>
                </c:pt>
                <c:pt idx="36">
                  <c:v>3212</c:v>
                </c:pt>
                <c:pt idx="37">
                  <c:v>3203</c:v>
                </c:pt>
                <c:pt idx="38">
                  <c:v>2999</c:v>
                </c:pt>
                <c:pt idx="39">
                  <c:v>2647</c:v>
                </c:pt>
                <c:pt idx="40">
                  <c:v>2451</c:v>
                </c:pt>
                <c:pt idx="41">
                  <c:v>2261</c:v>
                </c:pt>
                <c:pt idx="42">
                  <c:v>2002</c:v>
                </c:pt>
                <c:pt idx="43">
                  <c:v>1764</c:v>
                </c:pt>
                <c:pt idx="44">
                  <c:v>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5-46BB-ABFF-E5CF2B24EEF2}"/>
            </c:ext>
          </c:extLst>
        </c:ser>
        <c:ser>
          <c:idx val="1"/>
          <c:order val="1"/>
          <c:tx>
            <c:strRef>
              <c:f>期末残高推移グラフ!$A$66</c:f>
              <c:strCache>
                <c:ptCount val="1"/>
                <c:pt idx="0">
                  <c:v>オートローン等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期末残高推移グラフ!$B$64:$AT$64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期末残高推移グラフ!$B$66:$AT$66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1170</c:v>
                </c:pt>
                <c:pt idx="3">
                  <c:v>0</c:v>
                </c:pt>
                <c:pt idx="4">
                  <c:v>1915</c:v>
                </c:pt>
                <c:pt idx="5">
                  <c:v>2202</c:v>
                </c:pt>
                <c:pt idx="6">
                  <c:v>2508</c:v>
                </c:pt>
                <c:pt idx="7">
                  <c:v>2801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468</c:v>
                </c:pt>
                <c:pt idx="12">
                  <c:v>660</c:v>
                </c:pt>
                <c:pt idx="13">
                  <c:v>1052</c:v>
                </c:pt>
                <c:pt idx="14">
                  <c:v>946</c:v>
                </c:pt>
                <c:pt idx="15">
                  <c:v>1429</c:v>
                </c:pt>
                <c:pt idx="16">
                  <c:v>1185</c:v>
                </c:pt>
                <c:pt idx="17">
                  <c:v>1167</c:v>
                </c:pt>
                <c:pt idx="18">
                  <c:v>1077</c:v>
                </c:pt>
                <c:pt idx="19">
                  <c:v>1369</c:v>
                </c:pt>
                <c:pt idx="20">
                  <c:v>668</c:v>
                </c:pt>
                <c:pt idx="21">
                  <c:v>574</c:v>
                </c:pt>
                <c:pt idx="22">
                  <c:v>530</c:v>
                </c:pt>
                <c:pt idx="23">
                  <c:v>407</c:v>
                </c:pt>
                <c:pt idx="24">
                  <c:v>312</c:v>
                </c:pt>
                <c:pt idx="25">
                  <c:v>221</c:v>
                </c:pt>
                <c:pt idx="26">
                  <c:v>171</c:v>
                </c:pt>
                <c:pt idx="27">
                  <c:v>150</c:v>
                </c:pt>
                <c:pt idx="28">
                  <c:v>128</c:v>
                </c:pt>
                <c:pt idx="29">
                  <c:v>116</c:v>
                </c:pt>
                <c:pt idx="30">
                  <c:v>127</c:v>
                </c:pt>
                <c:pt idx="31">
                  <c:v>141</c:v>
                </c:pt>
                <c:pt idx="32">
                  <c:v>153</c:v>
                </c:pt>
                <c:pt idx="33">
                  <c:v>296</c:v>
                </c:pt>
                <c:pt idx="34">
                  <c:v>454</c:v>
                </c:pt>
                <c:pt idx="35">
                  <c:v>491</c:v>
                </c:pt>
                <c:pt idx="36">
                  <c:v>446</c:v>
                </c:pt>
                <c:pt idx="37">
                  <c:v>404</c:v>
                </c:pt>
                <c:pt idx="38">
                  <c:v>385</c:v>
                </c:pt>
                <c:pt idx="39">
                  <c:v>341</c:v>
                </c:pt>
                <c:pt idx="40">
                  <c:v>310</c:v>
                </c:pt>
                <c:pt idx="41">
                  <c:v>294</c:v>
                </c:pt>
                <c:pt idx="42">
                  <c:v>268</c:v>
                </c:pt>
                <c:pt idx="43">
                  <c:v>244</c:v>
                </c:pt>
                <c:pt idx="44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F5-46BB-ABFF-E5CF2B24EEF2}"/>
            </c:ext>
          </c:extLst>
        </c:ser>
        <c:ser>
          <c:idx val="2"/>
          <c:order val="2"/>
          <c:tx>
            <c:strRef>
              <c:f>期末残高推移グラフ!$A$67</c:f>
              <c:strCache>
                <c:ptCount val="1"/>
                <c:pt idx="0">
                  <c:v>不動産ローン等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期末残高推移グラフ!$B$64:$AT$64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期末残高推移グラフ!$B$67:$AT$67</c:f>
              <c:numCache>
                <c:formatCode>#,##0_ </c:formatCode>
                <c:ptCount val="45"/>
                <c:pt idx="0">
                  <c:v>16</c:v>
                </c:pt>
                <c:pt idx="1">
                  <c:v>5</c:v>
                </c:pt>
                <c:pt idx="2">
                  <c:v>14</c:v>
                </c:pt>
                <c:pt idx="3">
                  <c:v>0</c:v>
                </c:pt>
                <c:pt idx="4">
                  <c:v>14</c:v>
                </c:pt>
                <c:pt idx="5">
                  <c:v>18</c:v>
                </c:pt>
                <c:pt idx="6">
                  <c:v>26</c:v>
                </c:pt>
                <c:pt idx="7">
                  <c:v>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75</c:v>
                </c:pt>
                <c:pt idx="12">
                  <c:v>70</c:v>
                </c:pt>
                <c:pt idx="13">
                  <c:v>72</c:v>
                </c:pt>
                <c:pt idx="14">
                  <c:v>66</c:v>
                </c:pt>
                <c:pt idx="15">
                  <c:v>64</c:v>
                </c:pt>
                <c:pt idx="16">
                  <c:v>57</c:v>
                </c:pt>
                <c:pt idx="17">
                  <c:v>50</c:v>
                </c:pt>
                <c:pt idx="18">
                  <c:v>55</c:v>
                </c:pt>
                <c:pt idx="19">
                  <c:v>73</c:v>
                </c:pt>
                <c:pt idx="20">
                  <c:v>90</c:v>
                </c:pt>
                <c:pt idx="21">
                  <c:v>96</c:v>
                </c:pt>
                <c:pt idx="22">
                  <c:v>102</c:v>
                </c:pt>
                <c:pt idx="23">
                  <c:v>111</c:v>
                </c:pt>
                <c:pt idx="24">
                  <c:v>101</c:v>
                </c:pt>
                <c:pt idx="25">
                  <c:v>117</c:v>
                </c:pt>
                <c:pt idx="26">
                  <c:v>138</c:v>
                </c:pt>
                <c:pt idx="27">
                  <c:v>129</c:v>
                </c:pt>
                <c:pt idx="28">
                  <c:v>143</c:v>
                </c:pt>
                <c:pt idx="29">
                  <c:v>159</c:v>
                </c:pt>
                <c:pt idx="30">
                  <c:v>192</c:v>
                </c:pt>
                <c:pt idx="31">
                  <c:v>202</c:v>
                </c:pt>
                <c:pt idx="32">
                  <c:v>192</c:v>
                </c:pt>
                <c:pt idx="33">
                  <c:v>182</c:v>
                </c:pt>
                <c:pt idx="34">
                  <c:v>171</c:v>
                </c:pt>
                <c:pt idx="35">
                  <c:v>156</c:v>
                </c:pt>
                <c:pt idx="36">
                  <c:v>136</c:v>
                </c:pt>
                <c:pt idx="37">
                  <c:v>125</c:v>
                </c:pt>
                <c:pt idx="38">
                  <c:v>106</c:v>
                </c:pt>
                <c:pt idx="39">
                  <c:v>97</c:v>
                </c:pt>
                <c:pt idx="40">
                  <c:v>96</c:v>
                </c:pt>
                <c:pt idx="41">
                  <c:v>93</c:v>
                </c:pt>
                <c:pt idx="42">
                  <c:v>91</c:v>
                </c:pt>
                <c:pt idx="43">
                  <c:v>82</c:v>
                </c:pt>
                <c:pt idx="4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F5-46BB-ABFF-E5CF2B24EEF2}"/>
            </c:ext>
          </c:extLst>
        </c:ser>
        <c:ser>
          <c:idx val="3"/>
          <c:order val="3"/>
          <c:tx>
            <c:strRef>
              <c:f>期末残高推移グラフ!$A$68</c:f>
              <c:strCache>
                <c:ptCount val="1"/>
                <c:pt idx="0">
                  <c:v>火災共済貸付等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期末残高推移グラフ!$B$64:$AT$64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期末残高推移グラフ!$B$68:$AT$68</c:f>
              <c:numCache>
                <c:formatCode>#,##0_ </c:formatCode>
                <c:ptCount val="45"/>
                <c:pt idx="0">
                  <c:v>4</c:v>
                </c:pt>
                <c:pt idx="1">
                  <c:v>376</c:v>
                </c:pt>
                <c:pt idx="2">
                  <c:v>1220</c:v>
                </c:pt>
                <c:pt idx="3">
                  <c:v>0</c:v>
                </c:pt>
                <c:pt idx="4">
                  <c:v>1743</c:v>
                </c:pt>
                <c:pt idx="5">
                  <c:v>1692</c:v>
                </c:pt>
                <c:pt idx="6">
                  <c:v>90</c:v>
                </c:pt>
                <c:pt idx="7">
                  <c:v>48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146</c:v>
                </c:pt>
                <c:pt idx="12">
                  <c:v>214</c:v>
                </c:pt>
                <c:pt idx="13">
                  <c:v>268</c:v>
                </c:pt>
                <c:pt idx="14">
                  <c:v>385</c:v>
                </c:pt>
                <c:pt idx="15">
                  <c:v>378</c:v>
                </c:pt>
                <c:pt idx="16">
                  <c:v>350</c:v>
                </c:pt>
                <c:pt idx="17">
                  <c:v>351</c:v>
                </c:pt>
                <c:pt idx="18">
                  <c:v>299</c:v>
                </c:pt>
                <c:pt idx="19">
                  <c:v>242</c:v>
                </c:pt>
                <c:pt idx="20">
                  <c:v>228</c:v>
                </c:pt>
                <c:pt idx="21">
                  <c:v>192</c:v>
                </c:pt>
                <c:pt idx="22">
                  <c:v>237</c:v>
                </c:pt>
                <c:pt idx="23">
                  <c:v>279</c:v>
                </c:pt>
                <c:pt idx="24">
                  <c:v>269</c:v>
                </c:pt>
                <c:pt idx="25">
                  <c:v>278</c:v>
                </c:pt>
                <c:pt idx="26">
                  <c:v>319</c:v>
                </c:pt>
                <c:pt idx="27">
                  <c:v>315</c:v>
                </c:pt>
                <c:pt idx="28">
                  <c:v>301</c:v>
                </c:pt>
                <c:pt idx="29">
                  <c:v>283</c:v>
                </c:pt>
                <c:pt idx="30">
                  <c:v>330</c:v>
                </c:pt>
                <c:pt idx="31">
                  <c:v>376</c:v>
                </c:pt>
                <c:pt idx="32">
                  <c:v>385</c:v>
                </c:pt>
                <c:pt idx="33">
                  <c:v>424</c:v>
                </c:pt>
                <c:pt idx="34">
                  <c:v>398</c:v>
                </c:pt>
                <c:pt idx="35">
                  <c:v>421</c:v>
                </c:pt>
                <c:pt idx="36">
                  <c:v>471</c:v>
                </c:pt>
                <c:pt idx="37">
                  <c:v>518</c:v>
                </c:pt>
                <c:pt idx="38">
                  <c:v>527</c:v>
                </c:pt>
                <c:pt idx="39">
                  <c:v>502</c:v>
                </c:pt>
                <c:pt idx="40">
                  <c:v>462</c:v>
                </c:pt>
                <c:pt idx="41">
                  <c:v>434</c:v>
                </c:pt>
                <c:pt idx="42">
                  <c:v>432</c:v>
                </c:pt>
                <c:pt idx="43">
                  <c:v>386</c:v>
                </c:pt>
                <c:pt idx="44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F5-46BB-ABFF-E5CF2B24EEF2}"/>
            </c:ext>
          </c:extLst>
        </c:ser>
        <c:ser>
          <c:idx val="4"/>
          <c:order val="4"/>
          <c:tx>
            <c:strRef>
              <c:f>期末残高推移グラフ!$A$69</c:f>
              <c:strCache>
                <c:ptCount val="1"/>
                <c:pt idx="0">
                  <c:v>共済会ローン等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期末残高推移グラフ!$B$64:$AT$64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期末残高推移グラフ!$B$69:$AT$69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3000</c:v>
                </c:pt>
                <c:pt idx="12">
                  <c:v>2854</c:v>
                </c:pt>
                <c:pt idx="13">
                  <c:v>3309</c:v>
                </c:pt>
                <c:pt idx="14">
                  <c:v>2874</c:v>
                </c:pt>
                <c:pt idx="15">
                  <c:v>2854</c:v>
                </c:pt>
                <c:pt idx="16">
                  <c:v>2545</c:v>
                </c:pt>
                <c:pt idx="17">
                  <c:v>2834</c:v>
                </c:pt>
                <c:pt idx="18">
                  <c:v>2520</c:v>
                </c:pt>
                <c:pt idx="19">
                  <c:v>2672</c:v>
                </c:pt>
                <c:pt idx="20">
                  <c:v>2631</c:v>
                </c:pt>
                <c:pt idx="21">
                  <c:v>2064</c:v>
                </c:pt>
                <c:pt idx="22">
                  <c:v>133</c:v>
                </c:pt>
                <c:pt idx="23">
                  <c:v>111</c:v>
                </c:pt>
                <c:pt idx="24">
                  <c:v>90</c:v>
                </c:pt>
                <c:pt idx="25">
                  <c:v>72</c:v>
                </c:pt>
                <c:pt idx="26">
                  <c:v>61</c:v>
                </c:pt>
                <c:pt idx="27">
                  <c:v>51</c:v>
                </c:pt>
                <c:pt idx="28">
                  <c:v>43</c:v>
                </c:pt>
                <c:pt idx="29">
                  <c:v>41</c:v>
                </c:pt>
                <c:pt idx="30">
                  <c:v>35</c:v>
                </c:pt>
                <c:pt idx="31">
                  <c:v>34</c:v>
                </c:pt>
                <c:pt idx="32">
                  <c:v>29</c:v>
                </c:pt>
                <c:pt idx="33">
                  <c:v>26</c:v>
                </c:pt>
                <c:pt idx="34">
                  <c:v>23</c:v>
                </c:pt>
                <c:pt idx="35">
                  <c:v>17</c:v>
                </c:pt>
                <c:pt idx="36">
                  <c:v>17</c:v>
                </c:pt>
                <c:pt idx="37">
                  <c:v>15</c:v>
                </c:pt>
                <c:pt idx="38">
                  <c:v>13</c:v>
                </c:pt>
                <c:pt idx="39">
                  <c:v>11</c:v>
                </c:pt>
                <c:pt idx="40">
                  <c:v>10</c:v>
                </c:pt>
                <c:pt idx="41">
                  <c:v>7</c:v>
                </c:pt>
                <c:pt idx="42">
                  <c:v>7</c:v>
                </c:pt>
                <c:pt idx="43">
                  <c:v>5</c:v>
                </c:pt>
                <c:pt idx="4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F5-46BB-ABFF-E5CF2B24EEF2}"/>
            </c:ext>
          </c:extLst>
        </c:ser>
        <c:ser>
          <c:idx val="5"/>
          <c:order val="5"/>
          <c:tx>
            <c:strRef>
              <c:f>期末残高推移グラフ!$A$70</c:f>
              <c:strCache>
                <c:ptCount val="1"/>
                <c:pt idx="0">
                  <c:v>生活支援ローン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期末残高推移グラフ!$B$64:$AT$64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期末残高推移グラフ!$B$70:$AT$70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</c:v>
                </c:pt>
                <c:pt idx="35">
                  <c:v>15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18</c:v>
                </c:pt>
                <c:pt idx="42">
                  <c:v>14</c:v>
                </c:pt>
                <c:pt idx="43">
                  <c:v>13</c:v>
                </c:pt>
                <c:pt idx="4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5-46BB-ABFF-E5CF2B24EEF2}"/>
            </c:ext>
          </c:extLst>
        </c:ser>
        <c:ser>
          <c:idx val="6"/>
          <c:order val="6"/>
          <c:tx>
            <c:strRef>
              <c:f>期末残高推移グラフ!$A$71</c:f>
              <c:strCache>
                <c:ptCount val="1"/>
                <c:pt idx="0">
                  <c:v>有価証券貸付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期末残高推移グラフ!$B$64:$AT$64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期末残高推移グラフ!$B$71:$AT$71</c:f>
              <c:numCache>
                <c:formatCode>#,##0_ </c:formatCode>
                <c:ptCount val="4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F5-46BB-ABFF-E5CF2B24EEF2}"/>
            </c:ext>
          </c:extLst>
        </c:ser>
        <c:ser>
          <c:idx val="7"/>
          <c:order val="7"/>
          <c:tx>
            <c:strRef>
              <c:f>期末残高推移グラフ!$A$72</c:f>
              <c:strCache>
                <c:ptCount val="1"/>
                <c:pt idx="0">
                  <c:v>厚生貸付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期末残高推移グラフ!$B$64:$AT$64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期末残高推移グラフ!$B$72:$AT$72</c:f>
              <c:numCache>
                <c:formatCode>#,##0_ </c:formatCode>
                <c:ptCount val="45"/>
                <c:pt idx="0">
                  <c:v>0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F5-46BB-ABFF-E5CF2B24EEF2}"/>
            </c:ext>
          </c:extLst>
        </c:ser>
        <c:ser>
          <c:idx val="8"/>
          <c:order val="8"/>
          <c:tx>
            <c:strRef>
              <c:f>期末残高推移グラフ!$A$73</c:f>
              <c:strCache>
                <c:ptCount val="1"/>
                <c:pt idx="0">
                  <c:v>動産担保貸付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期末残高推移グラフ!$B$64:$AT$64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期末残高推移グラフ!$B$73:$AT$73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F5-46BB-ABFF-E5CF2B24EEF2}"/>
            </c:ext>
          </c:extLst>
        </c:ser>
        <c:ser>
          <c:idx val="9"/>
          <c:order val="9"/>
          <c:tx>
            <c:strRef>
              <c:f>期末残高推移グラフ!$A$74</c:f>
              <c:strCache>
                <c:ptCount val="1"/>
                <c:pt idx="0">
                  <c:v>会員厚生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期末残高推移グラフ!$B$64:$AT$64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期末残高推移グラフ!$B$74:$AT$74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</c:v>
                </c:pt>
                <c:pt idx="12">
                  <c:v>30</c:v>
                </c:pt>
                <c:pt idx="13">
                  <c:v>55</c:v>
                </c:pt>
                <c:pt idx="14">
                  <c:v>54</c:v>
                </c:pt>
                <c:pt idx="15">
                  <c:v>49</c:v>
                </c:pt>
                <c:pt idx="16">
                  <c:v>44</c:v>
                </c:pt>
                <c:pt idx="17">
                  <c:v>47</c:v>
                </c:pt>
                <c:pt idx="18">
                  <c:v>41</c:v>
                </c:pt>
                <c:pt idx="19">
                  <c:v>38</c:v>
                </c:pt>
                <c:pt idx="20">
                  <c:v>34</c:v>
                </c:pt>
                <c:pt idx="21">
                  <c:v>31</c:v>
                </c:pt>
                <c:pt idx="22">
                  <c:v>28</c:v>
                </c:pt>
                <c:pt idx="23">
                  <c:v>11</c:v>
                </c:pt>
                <c:pt idx="24">
                  <c:v>5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FF5-46BB-ABFF-E5CF2B24E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7140832"/>
        <c:axId val="1057139192"/>
      </c:barChart>
      <c:catAx>
        <c:axId val="105714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7139192"/>
        <c:crosses val="autoZero"/>
        <c:auto val="1"/>
        <c:lblAlgn val="ctr"/>
        <c:lblOffset val="100"/>
        <c:noMultiLvlLbl val="0"/>
      </c:catAx>
      <c:valAx>
        <c:axId val="105713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714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ローン種類別期末残高額（単位：円）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期末残高推移グラフ!$A$151</c:f>
              <c:strCache>
                <c:ptCount val="1"/>
                <c:pt idx="0">
                  <c:v>無担保ローン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期末残高推移グラフ!$B$150:$AT$150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期末残高推移グラフ!$B$151:$AT$151</c:f>
              <c:numCache>
                <c:formatCode>#,##0_ </c:formatCode>
                <c:ptCount val="45"/>
                <c:pt idx="0">
                  <c:v>1968040</c:v>
                </c:pt>
                <c:pt idx="1">
                  <c:v>6800000</c:v>
                </c:pt>
                <c:pt idx="2">
                  <c:v>4656000</c:v>
                </c:pt>
                <c:pt idx="3">
                  <c:v>5620000</c:v>
                </c:pt>
                <c:pt idx="4">
                  <c:v>3297500</c:v>
                </c:pt>
                <c:pt idx="5">
                  <c:v>2434500</c:v>
                </c:pt>
                <c:pt idx="6">
                  <c:v>16210621</c:v>
                </c:pt>
                <c:pt idx="7">
                  <c:v>26828259</c:v>
                </c:pt>
                <c:pt idx="8">
                  <c:v>55658000</c:v>
                </c:pt>
                <c:pt idx="9">
                  <c:v>78982000</c:v>
                </c:pt>
                <c:pt idx="10">
                  <c:v>92191000</c:v>
                </c:pt>
                <c:pt idx="11">
                  <c:v>92464000</c:v>
                </c:pt>
                <c:pt idx="12">
                  <c:v>85807719</c:v>
                </c:pt>
                <c:pt idx="13">
                  <c:v>77933094</c:v>
                </c:pt>
                <c:pt idx="14">
                  <c:v>68491051</c:v>
                </c:pt>
                <c:pt idx="15">
                  <c:v>130543802</c:v>
                </c:pt>
                <c:pt idx="16">
                  <c:v>280416519</c:v>
                </c:pt>
                <c:pt idx="17">
                  <c:v>552400804</c:v>
                </c:pt>
                <c:pt idx="18">
                  <c:v>957280781</c:v>
                </c:pt>
                <c:pt idx="19">
                  <c:v>1275642242</c:v>
                </c:pt>
                <c:pt idx="20">
                  <c:v>1591330949</c:v>
                </c:pt>
                <c:pt idx="21">
                  <c:v>1829540269</c:v>
                </c:pt>
                <c:pt idx="22">
                  <c:v>2834741826</c:v>
                </c:pt>
                <c:pt idx="23">
                  <c:v>2834741826</c:v>
                </c:pt>
                <c:pt idx="24">
                  <c:v>3078261382</c:v>
                </c:pt>
                <c:pt idx="25">
                  <c:v>3488783089</c:v>
                </c:pt>
                <c:pt idx="26">
                  <c:v>4285224863</c:v>
                </c:pt>
                <c:pt idx="27">
                  <c:v>5032871647</c:v>
                </c:pt>
                <c:pt idx="28">
                  <c:v>5787107392</c:v>
                </c:pt>
                <c:pt idx="29">
                  <c:v>6347850076</c:v>
                </c:pt>
                <c:pt idx="30">
                  <c:v>6545645930</c:v>
                </c:pt>
                <c:pt idx="31">
                  <c:v>6332369119</c:v>
                </c:pt>
                <c:pt idx="32">
                  <c:v>6039263731</c:v>
                </c:pt>
                <c:pt idx="33">
                  <c:v>5652109225</c:v>
                </c:pt>
                <c:pt idx="34">
                  <c:v>4762909545</c:v>
                </c:pt>
                <c:pt idx="35">
                  <c:v>4073054019</c:v>
                </c:pt>
                <c:pt idx="36">
                  <c:v>3727754631</c:v>
                </c:pt>
                <c:pt idx="37">
                  <c:v>3360927813</c:v>
                </c:pt>
                <c:pt idx="38">
                  <c:v>2922319722</c:v>
                </c:pt>
                <c:pt idx="39">
                  <c:v>2432099158</c:v>
                </c:pt>
                <c:pt idx="40">
                  <c:v>2135320423</c:v>
                </c:pt>
                <c:pt idx="41">
                  <c:v>1889037843</c:v>
                </c:pt>
                <c:pt idx="42">
                  <c:v>1636053495</c:v>
                </c:pt>
                <c:pt idx="43">
                  <c:v>1396472077</c:v>
                </c:pt>
                <c:pt idx="44">
                  <c:v>1294305737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F-4BC1-A0AA-BB3B5EDCE0AA}"/>
            </c:ext>
          </c:extLst>
        </c:ser>
        <c:ser>
          <c:idx val="1"/>
          <c:order val="1"/>
          <c:tx>
            <c:strRef>
              <c:f>期末残高推移グラフ!$A$152</c:f>
              <c:strCache>
                <c:ptCount val="1"/>
                <c:pt idx="0">
                  <c:v>オートローン等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期末残高推移グラフ!$B$150:$AT$150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期末残高推移グラフ!$B$152:$AT$152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14539000</c:v>
                </c:pt>
                <c:pt idx="3">
                  <c:v>58337000</c:v>
                </c:pt>
                <c:pt idx="4">
                  <c:v>16724564</c:v>
                </c:pt>
                <c:pt idx="5">
                  <c:v>18871943</c:v>
                </c:pt>
                <c:pt idx="6">
                  <c:v>18942875</c:v>
                </c:pt>
                <c:pt idx="7">
                  <c:v>26731970</c:v>
                </c:pt>
                <c:pt idx="8">
                  <c:v>40140000</c:v>
                </c:pt>
                <c:pt idx="9">
                  <c:v>96527000</c:v>
                </c:pt>
                <c:pt idx="10">
                  <c:v>207018000</c:v>
                </c:pt>
                <c:pt idx="11">
                  <c:v>189344000</c:v>
                </c:pt>
                <c:pt idx="12">
                  <c:v>188953325</c:v>
                </c:pt>
                <c:pt idx="13">
                  <c:v>235214544</c:v>
                </c:pt>
                <c:pt idx="14">
                  <c:v>322154761</c:v>
                </c:pt>
                <c:pt idx="15">
                  <c:v>397794733</c:v>
                </c:pt>
                <c:pt idx="16">
                  <c:v>470280791</c:v>
                </c:pt>
                <c:pt idx="17">
                  <c:v>455659825</c:v>
                </c:pt>
                <c:pt idx="18">
                  <c:v>371577993</c:v>
                </c:pt>
                <c:pt idx="19">
                  <c:v>258768866</c:v>
                </c:pt>
                <c:pt idx="20">
                  <c:v>195044509</c:v>
                </c:pt>
                <c:pt idx="21">
                  <c:v>99829416</c:v>
                </c:pt>
                <c:pt idx="22">
                  <c:v>102058304</c:v>
                </c:pt>
                <c:pt idx="23">
                  <c:v>102058304</c:v>
                </c:pt>
                <c:pt idx="24">
                  <c:v>89747284</c:v>
                </c:pt>
                <c:pt idx="25">
                  <c:v>75715810</c:v>
                </c:pt>
                <c:pt idx="26">
                  <c:v>71666249</c:v>
                </c:pt>
                <c:pt idx="27">
                  <c:v>68795037</c:v>
                </c:pt>
                <c:pt idx="28">
                  <c:v>63056882</c:v>
                </c:pt>
                <c:pt idx="29">
                  <c:v>50934681</c:v>
                </c:pt>
                <c:pt idx="30">
                  <c:v>59292347</c:v>
                </c:pt>
                <c:pt idx="31">
                  <c:v>67945308</c:v>
                </c:pt>
                <c:pt idx="32">
                  <c:v>79839905</c:v>
                </c:pt>
                <c:pt idx="33">
                  <c:v>170131573</c:v>
                </c:pt>
                <c:pt idx="34">
                  <c:v>253477145</c:v>
                </c:pt>
                <c:pt idx="35">
                  <c:v>275457322</c:v>
                </c:pt>
                <c:pt idx="36">
                  <c:v>263371546</c:v>
                </c:pt>
                <c:pt idx="37">
                  <c:v>281500704</c:v>
                </c:pt>
                <c:pt idx="38">
                  <c:v>287316562</c:v>
                </c:pt>
                <c:pt idx="39">
                  <c:v>262155395</c:v>
                </c:pt>
                <c:pt idx="40">
                  <c:v>260477211</c:v>
                </c:pt>
                <c:pt idx="41">
                  <c:v>258603310</c:v>
                </c:pt>
                <c:pt idx="42">
                  <c:v>216437403</c:v>
                </c:pt>
                <c:pt idx="43">
                  <c:v>194904595</c:v>
                </c:pt>
                <c:pt idx="44">
                  <c:v>171519449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0F-4BC1-A0AA-BB3B5EDCE0AA}"/>
            </c:ext>
          </c:extLst>
        </c:ser>
        <c:ser>
          <c:idx val="2"/>
          <c:order val="2"/>
          <c:tx>
            <c:strRef>
              <c:f>期末残高推移グラフ!$A$153</c:f>
              <c:strCache>
                <c:ptCount val="1"/>
                <c:pt idx="0">
                  <c:v>不動産ローン等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期末残高推移グラフ!$B$150:$AT$150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期末残高推移グラフ!$B$153:$AT$153</c:f>
              <c:numCache>
                <c:formatCode>#,##0_ </c:formatCode>
                <c:ptCount val="45"/>
                <c:pt idx="0">
                  <c:v>50703606</c:v>
                </c:pt>
                <c:pt idx="1">
                  <c:v>22720000</c:v>
                </c:pt>
                <c:pt idx="2">
                  <c:v>27397000</c:v>
                </c:pt>
                <c:pt idx="3">
                  <c:v>37422000</c:v>
                </c:pt>
                <c:pt idx="4">
                  <c:v>30009321</c:v>
                </c:pt>
                <c:pt idx="5">
                  <c:v>34320299</c:v>
                </c:pt>
                <c:pt idx="6">
                  <c:v>84941108</c:v>
                </c:pt>
                <c:pt idx="7">
                  <c:v>144168831</c:v>
                </c:pt>
                <c:pt idx="8">
                  <c:v>219593000</c:v>
                </c:pt>
                <c:pt idx="9">
                  <c:v>229780000</c:v>
                </c:pt>
                <c:pt idx="10">
                  <c:v>221016000</c:v>
                </c:pt>
                <c:pt idx="11">
                  <c:v>217717000</c:v>
                </c:pt>
                <c:pt idx="12">
                  <c:v>117429368</c:v>
                </c:pt>
                <c:pt idx="13">
                  <c:v>131578823</c:v>
                </c:pt>
                <c:pt idx="14">
                  <c:v>112982040</c:v>
                </c:pt>
                <c:pt idx="15">
                  <c:v>153147012</c:v>
                </c:pt>
                <c:pt idx="16">
                  <c:v>145721719</c:v>
                </c:pt>
                <c:pt idx="17">
                  <c:v>202896428</c:v>
                </c:pt>
                <c:pt idx="18">
                  <c:v>309214013</c:v>
                </c:pt>
                <c:pt idx="19">
                  <c:v>487874671</c:v>
                </c:pt>
                <c:pt idx="20">
                  <c:v>604687414</c:v>
                </c:pt>
                <c:pt idx="21">
                  <c:v>481641038</c:v>
                </c:pt>
                <c:pt idx="22">
                  <c:v>698515584</c:v>
                </c:pt>
                <c:pt idx="23">
                  <c:v>698515584</c:v>
                </c:pt>
                <c:pt idx="24">
                  <c:v>603265527</c:v>
                </c:pt>
                <c:pt idx="25">
                  <c:v>718432775</c:v>
                </c:pt>
                <c:pt idx="26">
                  <c:v>735622069</c:v>
                </c:pt>
                <c:pt idx="27">
                  <c:v>665284067</c:v>
                </c:pt>
                <c:pt idx="28">
                  <c:v>798807096</c:v>
                </c:pt>
                <c:pt idx="29">
                  <c:v>901040322</c:v>
                </c:pt>
                <c:pt idx="30">
                  <c:v>1109372415</c:v>
                </c:pt>
                <c:pt idx="31">
                  <c:v>1150817008</c:v>
                </c:pt>
                <c:pt idx="32">
                  <c:v>1053837342</c:v>
                </c:pt>
                <c:pt idx="33">
                  <c:v>955637013</c:v>
                </c:pt>
                <c:pt idx="34">
                  <c:v>869671923</c:v>
                </c:pt>
                <c:pt idx="35">
                  <c:v>755810948</c:v>
                </c:pt>
                <c:pt idx="36">
                  <c:v>638636452</c:v>
                </c:pt>
                <c:pt idx="37">
                  <c:v>552181549</c:v>
                </c:pt>
                <c:pt idx="38">
                  <c:v>480337471</c:v>
                </c:pt>
                <c:pt idx="39">
                  <c:v>436033313</c:v>
                </c:pt>
                <c:pt idx="40">
                  <c:v>404590373</c:v>
                </c:pt>
                <c:pt idx="41">
                  <c:v>366499032</c:v>
                </c:pt>
                <c:pt idx="42">
                  <c:v>346463144</c:v>
                </c:pt>
                <c:pt idx="43">
                  <c:v>301947011</c:v>
                </c:pt>
                <c:pt idx="44">
                  <c:v>276290510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0F-4BC1-A0AA-BB3B5EDCE0AA}"/>
            </c:ext>
          </c:extLst>
        </c:ser>
        <c:ser>
          <c:idx val="3"/>
          <c:order val="3"/>
          <c:tx>
            <c:strRef>
              <c:f>期末残高推移グラフ!$A$154</c:f>
              <c:strCache>
                <c:ptCount val="1"/>
                <c:pt idx="0">
                  <c:v>火災共済貸付等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期末残高推移グラフ!$B$150:$AT$150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期末残高推移グラフ!$B$154:$AT$154</c:f>
              <c:numCache>
                <c:formatCode>#,##0_ </c:formatCode>
                <c:ptCount val="45"/>
                <c:pt idx="0">
                  <c:v>440000</c:v>
                </c:pt>
                <c:pt idx="1">
                  <c:v>20012000</c:v>
                </c:pt>
                <c:pt idx="2">
                  <c:v>36818000</c:v>
                </c:pt>
                <c:pt idx="3">
                  <c:v>102710000</c:v>
                </c:pt>
                <c:pt idx="4">
                  <c:v>22912886</c:v>
                </c:pt>
                <c:pt idx="5">
                  <c:v>20405122</c:v>
                </c:pt>
                <c:pt idx="6">
                  <c:v>15508435</c:v>
                </c:pt>
                <c:pt idx="7">
                  <c:v>7616070</c:v>
                </c:pt>
                <c:pt idx="8">
                  <c:v>9951000</c:v>
                </c:pt>
                <c:pt idx="9">
                  <c:v>11428000</c:v>
                </c:pt>
                <c:pt idx="10">
                  <c:v>31140000</c:v>
                </c:pt>
                <c:pt idx="11">
                  <c:v>50244000</c:v>
                </c:pt>
                <c:pt idx="12">
                  <c:v>93896006</c:v>
                </c:pt>
                <c:pt idx="13">
                  <c:v>133487612</c:v>
                </c:pt>
                <c:pt idx="14">
                  <c:v>247946323</c:v>
                </c:pt>
                <c:pt idx="15">
                  <c:v>249162538</c:v>
                </c:pt>
                <c:pt idx="16">
                  <c:v>277362930</c:v>
                </c:pt>
                <c:pt idx="17">
                  <c:v>275044827</c:v>
                </c:pt>
                <c:pt idx="18">
                  <c:v>229247685</c:v>
                </c:pt>
                <c:pt idx="19">
                  <c:v>177011587</c:v>
                </c:pt>
                <c:pt idx="20">
                  <c:v>169434264</c:v>
                </c:pt>
                <c:pt idx="21">
                  <c:v>80570632</c:v>
                </c:pt>
                <c:pt idx="22">
                  <c:v>190769332</c:v>
                </c:pt>
                <c:pt idx="23">
                  <c:v>190769332</c:v>
                </c:pt>
                <c:pt idx="24">
                  <c:v>187464988</c:v>
                </c:pt>
                <c:pt idx="25">
                  <c:v>200350556</c:v>
                </c:pt>
                <c:pt idx="26">
                  <c:v>231516152</c:v>
                </c:pt>
                <c:pt idx="27">
                  <c:v>213387117</c:v>
                </c:pt>
                <c:pt idx="28">
                  <c:v>211332088</c:v>
                </c:pt>
                <c:pt idx="29">
                  <c:v>211657256</c:v>
                </c:pt>
                <c:pt idx="30">
                  <c:v>212606197</c:v>
                </c:pt>
                <c:pt idx="31">
                  <c:v>244506951</c:v>
                </c:pt>
                <c:pt idx="32">
                  <c:v>249259263</c:v>
                </c:pt>
                <c:pt idx="33">
                  <c:v>296504436</c:v>
                </c:pt>
                <c:pt idx="34">
                  <c:v>240256897</c:v>
                </c:pt>
                <c:pt idx="35">
                  <c:v>255553148</c:v>
                </c:pt>
                <c:pt idx="36">
                  <c:v>337720292</c:v>
                </c:pt>
                <c:pt idx="37">
                  <c:v>400482098</c:v>
                </c:pt>
                <c:pt idx="38">
                  <c:v>435899317</c:v>
                </c:pt>
                <c:pt idx="39">
                  <c:v>435817817</c:v>
                </c:pt>
                <c:pt idx="40">
                  <c:v>419699000</c:v>
                </c:pt>
                <c:pt idx="41">
                  <c:v>377051589</c:v>
                </c:pt>
                <c:pt idx="42">
                  <c:v>332859167</c:v>
                </c:pt>
                <c:pt idx="43">
                  <c:v>280980451</c:v>
                </c:pt>
                <c:pt idx="44">
                  <c:v>228039738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0F-4BC1-A0AA-BB3B5EDCE0AA}"/>
            </c:ext>
          </c:extLst>
        </c:ser>
        <c:ser>
          <c:idx val="4"/>
          <c:order val="4"/>
          <c:tx>
            <c:strRef>
              <c:f>期末残高推移グラフ!$A$155</c:f>
              <c:strCache>
                <c:ptCount val="1"/>
                <c:pt idx="0">
                  <c:v>共済会ローン等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期末残高推移グラフ!$B$150:$AT$150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期末残高推移グラフ!$B$155:$AT$155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28023000</c:v>
                </c:pt>
                <c:pt idx="9">
                  <c:v>26219000</c:v>
                </c:pt>
                <c:pt idx="10">
                  <c:v>35865000</c:v>
                </c:pt>
                <c:pt idx="11">
                  <c:v>36317000</c:v>
                </c:pt>
                <c:pt idx="12">
                  <c:v>32295420</c:v>
                </c:pt>
                <c:pt idx="13">
                  <c:v>356208751</c:v>
                </c:pt>
                <c:pt idx="14">
                  <c:v>347878740</c:v>
                </c:pt>
                <c:pt idx="15">
                  <c:v>356200416</c:v>
                </c:pt>
                <c:pt idx="16">
                  <c:v>346530237</c:v>
                </c:pt>
                <c:pt idx="17">
                  <c:v>358999968</c:v>
                </c:pt>
                <c:pt idx="18">
                  <c:v>322183554</c:v>
                </c:pt>
                <c:pt idx="19">
                  <c:v>317934442</c:v>
                </c:pt>
                <c:pt idx="20">
                  <c:v>283290328</c:v>
                </c:pt>
                <c:pt idx="21">
                  <c:v>97676025</c:v>
                </c:pt>
                <c:pt idx="22">
                  <c:v>170121243</c:v>
                </c:pt>
                <c:pt idx="23">
                  <c:v>170121243</c:v>
                </c:pt>
                <c:pt idx="24">
                  <c:v>138409562</c:v>
                </c:pt>
                <c:pt idx="25">
                  <c:v>99585678</c:v>
                </c:pt>
                <c:pt idx="26">
                  <c:v>91504871</c:v>
                </c:pt>
                <c:pt idx="27">
                  <c:v>78158233</c:v>
                </c:pt>
                <c:pt idx="28">
                  <c:v>65164621</c:v>
                </c:pt>
                <c:pt idx="29">
                  <c:v>54722975</c:v>
                </c:pt>
                <c:pt idx="30">
                  <c:v>43555953</c:v>
                </c:pt>
                <c:pt idx="31">
                  <c:v>43598697</c:v>
                </c:pt>
                <c:pt idx="32">
                  <c:v>43774405</c:v>
                </c:pt>
                <c:pt idx="33">
                  <c:v>41125777</c:v>
                </c:pt>
                <c:pt idx="34">
                  <c:v>31331789</c:v>
                </c:pt>
                <c:pt idx="35">
                  <c:v>24211483</c:v>
                </c:pt>
                <c:pt idx="36">
                  <c:v>23109835</c:v>
                </c:pt>
                <c:pt idx="37">
                  <c:v>17962610</c:v>
                </c:pt>
                <c:pt idx="38">
                  <c:v>13701132</c:v>
                </c:pt>
                <c:pt idx="39">
                  <c:v>10730323</c:v>
                </c:pt>
                <c:pt idx="40">
                  <c:v>8017519</c:v>
                </c:pt>
                <c:pt idx="41">
                  <c:v>5170391</c:v>
                </c:pt>
                <c:pt idx="42">
                  <c:v>4284454</c:v>
                </c:pt>
                <c:pt idx="43">
                  <c:v>3643057</c:v>
                </c:pt>
                <c:pt idx="44">
                  <c:v>1245377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0F-4BC1-A0AA-BB3B5EDCE0AA}"/>
            </c:ext>
          </c:extLst>
        </c:ser>
        <c:ser>
          <c:idx val="5"/>
          <c:order val="5"/>
          <c:tx>
            <c:strRef>
              <c:f>期末残高推移グラフ!$A$156</c:f>
              <c:strCache>
                <c:ptCount val="1"/>
                <c:pt idx="0">
                  <c:v>生活支援ローン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期末残高推移グラフ!$B$150:$AT$150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期末残高推移グラフ!$B$156:$AT$156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10301102</c:v>
                </c:pt>
                <c:pt idx="35">
                  <c:v>19420685</c:v>
                </c:pt>
                <c:pt idx="36">
                  <c:v>29432871</c:v>
                </c:pt>
                <c:pt idx="37">
                  <c:v>25296052</c:v>
                </c:pt>
                <c:pt idx="38">
                  <c:v>27207041</c:v>
                </c:pt>
                <c:pt idx="39">
                  <c:v>24617828</c:v>
                </c:pt>
                <c:pt idx="40">
                  <c:v>24441441</c:v>
                </c:pt>
                <c:pt idx="41">
                  <c:v>21600538</c:v>
                </c:pt>
                <c:pt idx="42">
                  <c:v>16162126</c:v>
                </c:pt>
                <c:pt idx="43">
                  <c:v>12619899</c:v>
                </c:pt>
                <c:pt idx="44">
                  <c:v>14578530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0F-4BC1-A0AA-BB3B5EDCE0AA}"/>
            </c:ext>
          </c:extLst>
        </c:ser>
        <c:ser>
          <c:idx val="6"/>
          <c:order val="6"/>
          <c:tx>
            <c:strRef>
              <c:f>期末残高推移グラフ!$A$157</c:f>
              <c:strCache>
                <c:ptCount val="1"/>
                <c:pt idx="0">
                  <c:v>有価証券貸付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期末残高推移グラフ!$B$150:$AT$150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期末残高推移グラフ!$B$157:$AT$157</c:f>
              <c:numCache>
                <c:formatCode>#,##0_ </c:formatCode>
                <c:ptCount val="45"/>
                <c:pt idx="0">
                  <c:v>3356160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1261066</c:v>
                </c:pt>
                <c:pt idx="6">
                  <c:v>2000000</c:v>
                </c:pt>
                <c:pt idx="7">
                  <c:v>3000000</c:v>
                </c:pt>
                <c:pt idx="8">
                  <c:v>2835000</c:v>
                </c:pt>
                <c:pt idx="9">
                  <c:v>655000</c:v>
                </c:pt>
                <c:pt idx="10">
                  <c:v>456000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0F-4BC1-A0AA-BB3B5EDCE0AA}"/>
            </c:ext>
          </c:extLst>
        </c:ser>
        <c:ser>
          <c:idx val="7"/>
          <c:order val="7"/>
          <c:tx>
            <c:strRef>
              <c:f>期末残高推移グラフ!$A$158</c:f>
              <c:strCache>
                <c:ptCount val="1"/>
                <c:pt idx="0">
                  <c:v>厚生貸付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期末残高推移グラフ!$B$150:$AT$150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期末残高推移グラフ!$B$158:$AT$158</c:f>
              <c:numCache>
                <c:formatCode>#,##0_ </c:formatCode>
                <c:ptCount val="45"/>
                <c:pt idx="0">
                  <c:v>0</c:v>
                </c:pt>
                <c:pt idx="1">
                  <c:v>20000000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18523000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E0F-4BC1-A0AA-BB3B5EDCE0AA}"/>
            </c:ext>
          </c:extLst>
        </c:ser>
        <c:ser>
          <c:idx val="8"/>
          <c:order val="8"/>
          <c:tx>
            <c:strRef>
              <c:f>期末残高推移グラフ!$A$159</c:f>
              <c:strCache>
                <c:ptCount val="1"/>
                <c:pt idx="0">
                  <c:v>動産担保貸付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期末残高推移グラフ!$B$150:$AT$150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期末残高推移グラフ!$B$159:$AT$159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1772300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0F-4BC1-A0AA-BB3B5EDCE0AA}"/>
            </c:ext>
          </c:extLst>
        </c:ser>
        <c:ser>
          <c:idx val="9"/>
          <c:order val="9"/>
          <c:tx>
            <c:strRef>
              <c:f>期末残高推移グラフ!$A$160</c:f>
              <c:strCache>
                <c:ptCount val="1"/>
                <c:pt idx="0">
                  <c:v>会員厚生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期末残高推移グラフ!$B$150:$AT$150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期末残高推移グラフ!$B$160:$AT$160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25364000</c:v>
                </c:pt>
                <c:pt idx="9">
                  <c:v>0</c:v>
                </c:pt>
                <c:pt idx="10">
                  <c:v>17632000</c:v>
                </c:pt>
                <c:pt idx="11">
                  <c:v>24725000</c:v>
                </c:pt>
                <c:pt idx="12">
                  <c:v>29735946</c:v>
                </c:pt>
                <c:pt idx="13">
                  <c:v>42838977</c:v>
                </c:pt>
                <c:pt idx="14">
                  <c:v>48622378</c:v>
                </c:pt>
                <c:pt idx="15">
                  <c:v>49873564</c:v>
                </c:pt>
                <c:pt idx="16">
                  <c:v>54353540</c:v>
                </c:pt>
                <c:pt idx="17">
                  <c:v>64465843</c:v>
                </c:pt>
                <c:pt idx="18">
                  <c:v>44356881</c:v>
                </c:pt>
                <c:pt idx="19">
                  <c:v>47396280</c:v>
                </c:pt>
                <c:pt idx="20">
                  <c:v>88933318</c:v>
                </c:pt>
                <c:pt idx="21">
                  <c:v>152656468</c:v>
                </c:pt>
                <c:pt idx="22">
                  <c:v>7716040</c:v>
                </c:pt>
                <c:pt idx="23">
                  <c:v>7716040</c:v>
                </c:pt>
                <c:pt idx="24">
                  <c:v>5093395</c:v>
                </c:pt>
                <c:pt idx="25">
                  <c:v>3107422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E0F-4BC1-A0AA-BB3B5EDCE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8483784"/>
        <c:axId val="528484112"/>
      </c:barChart>
      <c:catAx>
        <c:axId val="52848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8484112"/>
        <c:crosses val="autoZero"/>
        <c:auto val="1"/>
        <c:lblAlgn val="ctr"/>
        <c:lblOffset val="100"/>
        <c:noMultiLvlLbl val="0"/>
      </c:catAx>
      <c:valAx>
        <c:axId val="52848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848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ローン種類別期末残高件数割合（単位：％）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期末残高推移グラフ!$A$65</c:f>
              <c:strCache>
                <c:ptCount val="1"/>
                <c:pt idx="0">
                  <c:v>無担保ローン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期末残高推移グラフ!$B$64:$AT$64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期末残高推移グラフ!$B$65:$AT$65</c:f>
              <c:numCache>
                <c:formatCode>#,##0_ </c:formatCode>
                <c:ptCount val="45"/>
                <c:pt idx="0">
                  <c:v>43</c:v>
                </c:pt>
                <c:pt idx="1">
                  <c:v>12</c:v>
                </c:pt>
                <c:pt idx="2">
                  <c:v>21</c:v>
                </c:pt>
                <c:pt idx="3">
                  <c:v>0</c:v>
                </c:pt>
                <c:pt idx="4">
                  <c:v>15</c:v>
                </c:pt>
                <c:pt idx="5">
                  <c:v>14</c:v>
                </c:pt>
                <c:pt idx="6">
                  <c:v>42</c:v>
                </c:pt>
                <c:pt idx="7">
                  <c:v>65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188</c:v>
                </c:pt>
                <c:pt idx="12">
                  <c:v>161</c:v>
                </c:pt>
                <c:pt idx="13">
                  <c:v>131</c:v>
                </c:pt>
                <c:pt idx="14">
                  <c:v>101</c:v>
                </c:pt>
                <c:pt idx="15">
                  <c:v>125</c:v>
                </c:pt>
                <c:pt idx="16">
                  <c:v>205</c:v>
                </c:pt>
                <c:pt idx="17">
                  <c:v>340</c:v>
                </c:pt>
                <c:pt idx="18">
                  <c:v>548</c:v>
                </c:pt>
                <c:pt idx="19">
                  <c:v>707</c:v>
                </c:pt>
                <c:pt idx="20">
                  <c:v>866</c:v>
                </c:pt>
                <c:pt idx="21">
                  <c:v>1012</c:v>
                </c:pt>
                <c:pt idx="22">
                  <c:v>1337</c:v>
                </c:pt>
                <c:pt idx="23">
                  <c:v>1616</c:v>
                </c:pt>
                <c:pt idx="24">
                  <c:v>1792</c:v>
                </c:pt>
                <c:pt idx="25">
                  <c:v>2013</c:v>
                </c:pt>
                <c:pt idx="26">
                  <c:v>2435</c:v>
                </c:pt>
                <c:pt idx="27">
                  <c:v>2832</c:v>
                </c:pt>
                <c:pt idx="28">
                  <c:v>3241</c:v>
                </c:pt>
                <c:pt idx="29">
                  <c:v>3664</c:v>
                </c:pt>
                <c:pt idx="30">
                  <c:v>3920</c:v>
                </c:pt>
                <c:pt idx="31">
                  <c:v>3939</c:v>
                </c:pt>
                <c:pt idx="32">
                  <c:v>3958</c:v>
                </c:pt>
                <c:pt idx="33">
                  <c:v>3801</c:v>
                </c:pt>
                <c:pt idx="34">
                  <c:v>3533</c:v>
                </c:pt>
                <c:pt idx="35">
                  <c:v>3236</c:v>
                </c:pt>
                <c:pt idx="36">
                  <c:v>3212</c:v>
                </c:pt>
                <c:pt idx="37">
                  <c:v>3203</c:v>
                </c:pt>
                <c:pt idx="38">
                  <c:v>2999</c:v>
                </c:pt>
                <c:pt idx="39">
                  <c:v>2647</c:v>
                </c:pt>
                <c:pt idx="40">
                  <c:v>2451</c:v>
                </c:pt>
                <c:pt idx="41">
                  <c:v>2261</c:v>
                </c:pt>
                <c:pt idx="42">
                  <c:v>2002</c:v>
                </c:pt>
                <c:pt idx="43">
                  <c:v>1764</c:v>
                </c:pt>
                <c:pt idx="44">
                  <c:v>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9-4012-B161-8C5F2583E685}"/>
            </c:ext>
          </c:extLst>
        </c:ser>
        <c:ser>
          <c:idx val="1"/>
          <c:order val="1"/>
          <c:tx>
            <c:strRef>
              <c:f>期末残高推移グラフ!$A$66</c:f>
              <c:strCache>
                <c:ptCount val="1"/>
                <c:pt idx="0">
                  <c:v>オートローン等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期末残高推移グラフ!$B$64:$AT$64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期末残高推移グラフ!$B$66:$AT$66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1170</c:v>
                </c:pt>
                <c:pt idx="3">
                  <c:v>0</c:v>
                </c:pt>
                <c:pt idx="4">
                  <c:v>1915</c:v>
                </c:pt>
                <c:pt idx="5">
                  <c:v>2202</c:v>
                </c:pt>
                <c:pt idx="6">
                  <c:v>2508</c:v>
                </c:pt>
                <c:pt idx="7">
                  <c:v>2801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468</c:v>
                </c:pt>
                <c:pt idx="12">
                  <c:v>660</c:v>
                </c:pt>
                <c:pt idx="13">
                  <c:v>1052</c:v>
                </c:pt>
                <c:pt idx="14">
                  <c:v>946</c:v>
                </c:pt>
                <c:pt idx="15">
                  <c:v>1429</c:v>
                </c:pt>
                <c:pt idx="16">
                  <c:v>1185</c:v>
                </c:pt>
                <c:pt idx="17">
                  <c:v>1167</c:v>
                </c:pt>
                <c:pt idx="18">
                  <c:v>1077</c:v>
                </c:pt>
                <c:pt idx="19">
                  <c:v>1369</c:v>
                </c:pt>
                <c:pt idx="20">
                  <c:v>668</c:v>
                </c:pt>
                <c:pt idx="21">
                  <c:v>574</c:v>
                </c:pt>
                <c:pt idx="22">
                  <c:v>530</c:v>
                </c:pt>
                <c:pt idx="23">
                  <c:v>407</c:v>
                </c:pt>
                <c:pt idx="24">
                  <c:v>312</c:v>
                </c:pt>
                <c:pt idx="25">
                  <c:v>221</c:v>
                </c:pt>
                <c:pt idx="26">
                  <c:v>171</c:v>
                </c:pt>
                <c:pt idx="27">
                  <c:v>150</c:v>
                </c:pt>
                <c:pt idx="28">
                  <c:v>128</c:v>
                </c:pt>
                <c:pt idx="29">
                  <c:v>116</c:v>
                </c:pt>
                <c:pt idx="30">
                  <c:v>127</c:v>
                </c:pt>
                <c:pt idx="31">
                  <c:v>141</c:v>
                </c:pt>
                <c:pt idx="32">
                  <c:v>153</c:v>
                </c:pt>
                <c:pt idx="33">
                  <c:v>296</c:v>
                </c:pt>
                <c:pt idx="34">
                  <c:v>454</c:v>
                </c:pt>
                <c:pt idx="35">
                  <c:v>491</c:v>
                </c:pt>
                <c:pt idx="36">
                  <c:v>446</c:v>
                </c:pt>
                <c:pt idx="37">
                  <c:v>404</c:v>
                </c:pt>
                <c:pt idx="38">
                  <c:v>385</c:v>
                </c:pt>
                <c:pt idx="39">
                  <c:v>341</c:v>
                </c:pt>
                <c:pt idx="40">
                  <c:v>310</c:v>
                </c:pt>
                <c:pt idx="41">
                  <c:v>294</c:v>
                </c:pt>
                <c:pt idx="42">
                  <c:v>268</c:v>
                </c:pt>
                <c:pt idx="43">
                  <c:v>244</c:v>
                </c:pt>
                <c:pt idx="44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9-4012-B161-8C5F2583E685}"/>
            </c:ext>
          </c:extLst>
        </c:ser>
        <c:ser>
          <c:idx val="2"/>
          <c:order val="2"/>
          <c:tx>
            <c:strRef>
              <c:f>期末残高推移グラフ!$A$67</c:f>
              <c:strCache>
                <c:ptCount val="1"/>
                <c:pt idx="0">
                  <c:v>不動産ローン等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期末残高推移グラフ!$B$64:$AT$64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期末残高推移グラフ!$B$67:$AT$67</c:f>
              <c:numCache>
                <c:formatCode>#,##0_ </c:formatCode>
                <c:ptCount val="45"/>
                <c:pt idx="0">
                  <c:v>16</c:v>
                </c:pt>
                <c:pt idx="1">
                  <c:v>5</c:v>
                </c:pt>
                <c:pt idx="2">
                  <c:v>14</c:v>
                </c:pt>
                <c:pt idx="3">
                  <c:v>0</c:v>
                </c:pt>
                <c:pt idx="4">
                  <c:v>14</c:v>
                </c:pt>
                <c:pt idx="5">
                  <c:v>18</c:v>
                </c:pt>
                <c:pt idx="6">
                  <c:v>26</c:v>
                </c:pt>
                <c:pt idx="7">
                  <c:v>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75</c:v>
                </c:pt>
                <c:pt idx="12">
                  <c:v>70</c:v>
                </c:pt>
                <c:pt idx="13">
                  <c:v>72</c:v>
                </c:pt>
                <c:pt idx="14">
                  <c:v>66</c:v>
                </c:pt>
                <c:pt idx="15">
                  <c:v>64</c:v>
                </c:pt>
                <c:pt idx="16">
                  <c:v>57</c:v>
                </c:pt>
                <c:pt idx="17">
                  <c:v>50</c:v>
                </c:pt>
                <c:pt idx="18">
                  <c:v>55</c:v>
                </c:pt>
                <c:pt idx="19">
                  <c:v>73</c:v>
                </c:pt>
                <c:pt idx="20">
                  <c:v>90</c:v>
                </c:pt>
                <c:pt idx="21">
                  <c:v>96</c:v>
                </c:pt>
                <c:pt idx="22">
                  <c:v>102</c:v>
                </c:pt>
                <c:pt idx="23">
                  <c:v>111</c:v>
                </c:pt>
                <c:pt idx="24">
                  <c:v>101</c:v>
                </c:pt>
                <c:pt idx="25">
                  <c:v>117</c:v>
                </c:pt>
                <c:pt idx="26">
                  <c:v>138</c:v>
                </c:pt>
                <c:pt idx="27">
                  <c:v>129</c:v>
                </c:pt>
                <c:pt idx="28">
                  <c:v>143</c:v>
                </c:pt>
                <c:pt idx="29">
                  <c:v>159</c:v>
                </c:pt>
                <c:pt idx="30">
                  <c:v>192</c:v>
                </c:pt>
                <c:pt idx="31">
                  <c:v>202</c:v>
                </c:pt>
                <c:pt idx="32">
                  <c:v>192</c:v>
                </c:pt>
                <c:pt idx="33">
                  <c:v>182</c:v>
                </c:pt>
                <c:pt idx="34">
                  <c:v>171</c:v>
                </c:pt>
                <c:pt idx="35">
                  <c:v>156</c:v>
                </c:pt>
                <c:pt idx="36">
                  <c:v>136</c:v>
                </c:pt>
                <c:pt idx="37">
                  <c:v>125</c:v>
                </c:pt>
                <c:pt idx="38">
                  <c:v>106</c:v>
                </c:pt>
                <c:pt idx="39">
                  <c:v>97</c:v>
                </c:pt>
                <c:pt idx="40">
                  <c:v>96</c:v>
                </c:pt>
                <c:pt idx="41">
                  <c:v>93</c:v>
                </c:pt>
                <c:pt idx="42">
                  <c:v>91</c:v>
                </c:pt>
                <c:pt idx="43">
                  <c:v>82</c:v>
                </c:pt>
                <c:pt idx="4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89-4012-B161-8C5F2583E685}"/>
            </c:ext>
          </c:extLst>
        </c:ser>
        <c:ser>
          <c:idx val="3"/>
          <c:order val="3"/>
          <c:tx>
            <c:strRef>
              <c:f>期末残高推移グラフ!$A$68</c:f>
              <c:strCache>
                <c:ptCount val="1"/>
                <c:pt idx="0">
                  <c:v>火災共済貸付等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期末残高推移グラフ!$B$64:$AT$64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期末残高推移グラフ!$B$68:$AT$68</c:f>
              <c:numCache>
                <c:formatCode>#,##0_ </c:formatCode>
                <c:ptCount val="45"/>
                <c:pt idx="0">
                  <c:v>4</c:v>
                </c:pt>
                <c:pt idx="1">
                  <c:v>376</c:v>
                </c:pt>
                <c:pt idx="2">
                  <c:v>1220</c:v>
                </c:pt>
                <c:pt idx="3">
                  <c:v>0</c:v>
                </c:pt>
                <c:pt idx="4">
                  <c:v>1743</c:v>
                </c:pt>
                <c:pt idx="5">
                  <c:v>1692</c:v>
                </c:pt>
                <c:pt idx="6">
                  <c:v>90</c:v>
                </c:pt>
                <c:pt idx="7">
                  <c:v>48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146</c:v>
                </c:pt>
                <c:pt idx="12">
                  <c:v>214</c:v>
                </c:pt>
                <c:pt idx="13">
                  <c:v>268</c:v>
                </c:pt>
                <c:pt idx="14">
                  <c:v>385</c:v>
                </c:pt>
                <c:pt idx="15">
                  <c:v>378</c:v>
                </c:pt>
                <c:pt idx="16">
                  <c:v>350</c:v>
                </c:pt>
                <c:pt idx="17">
                  <c:v>351</c:v>
                </c:pt>
                <c:pt idx="18">
                  <c:v>299</c:v>
                </c:pt>
                <c:pt idx="19">
                  <c:v>242</c:v>
                </c:pt>
                <c:pt idx="20">
                  <c:v>228</c:v>
                </c:pt>
                <c:pt idx="21">
                  <c:v>192</c:v>
                </c:pt>
                <c:pt idx="22">
                  <c:v>237</c:v>
                </c:pt>
                <c:pt idx="23">
                  <c:v>279</c:v>
                </c:pt>
                <c:pt idx="24">
                  <c:v>269</c:v>
                </c:pt>
                <c:pt idx="25">
                  <c:v>278</c:v>
                </c:pt>
                <c:pt idx="26">
                  <c:v>319</c:v>
                </c:pt>
                <c:pt idx="27">
                  <c:v>315</c:v>
                </c:pt>
                <c:pt idx="28">
                  <c:v>301</c:v>
                </c:pt>
                <c:pt idx="29">
                  <c:v>283</c:v>
                </c:pt>
                <c:pt idx="30">
                  <c:v>330</c:v>
                </c:pt>
                <c:pt idx="31">
                  <c:v>376</c:v>
                </c:pt>
                <c:pt idx="32">
                  <c:v>385</c:v>
                </c:pt>
                <c:pt idx="33">
                  <c:v>424</c:v>
                </c:pt>
                <c:pt idx="34">
                  <c:v>398</c:v>
                </c:pt>
                <c:pt idx="35">
                  <c:v>421</c:v>
                </c:pt>
                <c:pt idx="36">
                  <c:v>471</c:v>
                </c:pt>
                <c:pt idx="37">
                  <c:v>518</c:v>
                </c:pt>
                <c:pt idx="38">
                  <c:v>527</c:v>
                </c:pt>
                <c:pt idx="39">
                  <c:v>502</c:v>
                </c:pt>
                <c:pt idx="40">
                  <c:v>462</c:v>
                </c:pt>
                <c:pt idx="41">
                  <c:v>434</c:v>
                </c:pt>
                <c:pt idx="42">
                  <c:v>432</c:v>
                </c:pt>
                <c:pt idx="43">
                  <c:v>386</c:v>
                </c:pt>
                <c:pt idx="44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89-4012-B161-8C5F2583E685}"/>
            </c:ext>
          </c:extLst>
        </c:ser>
        <c:ser>
          <c:idx val="4"/>
          <c:order val="4"/>
          <c:tx>
            <c:strRef>
              <c:f>期末残高推移グラフ!$A$69</c:f>
              <c:strCache>
                <c:ptCount val="1"/>
                <c:pt idx="0">
                  <c:v>共済会ローン等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期末残高推移グラフ!$B$64:$AT$64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期末残高推移グラフ!$B$69:$AT$69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3000</c:v>
                </c:pt>
                <c:pt idx="12">
                  <c:v>2854</c:v>
                </c:pt>
                <c:pt idx="13">
                  <c:v>3309</c:v>
                </c:pt>
                <c:pt idx="14">
                  <c:v>2874</c:v>
                </c:pt>
                <c:pt idx="15">
                  <c:v>2854</c:v>
                </c:pt>
                <c:pt idx="16">
                  <c:v>2545</c:v>
                </c:pt>
                <c:pt idx="17">
                  <c:v>2834</c:v>
                </c:pt>
                <c:pt idx="18">
                  <c:v>2520</c:v>
                </c:pt>
                <c:pt idx="19">
                  <c:v>2672</c:v>
                </c:pt>
                <c:pt idx="20">
                  <c:v>2631</c:v>
                </c:pt>
                <c:pt idx="21">
                  <c:v>2064</c:v>
                </c:pt>
                <c:pt idx="22">
                  <c:v>133</c:v>
                </c:pt>
                <c:pt idx="23">
                  <c:v>111</c:v>
                </c:pt>
                <c:pt idx="24">
                  <c:v>90</c:v>
                </c:pt>
                <c:pt idx="25">
                  <c:v>72</c:v>
                </c:pt>
                <c:pt idx="26">
                  <c:v>61</c:v>
                </c:pt>
                <c:pt idx="27">
                  <c:v>51</c:v>
                </c:pt>
                <c:pt idx="28">
                  <c:v>43</c:v>
                </c:pt>
                <c:pt idx="29">
                  <c:v>41</c:v>
                </c:pt>
                <c:pt idx="30">
                  <c:v>35</c:v>
                </c:pt>
                <c:pt idx="31">
                  <c:v>34</c:v>
                </c:pt>
                <c:pt idx="32">
                  <c:v>29</c:v>
                </c:pt>
                <c:pt idx="33">
                  <c:v>26</c:v>
                </c:pt>
                <c:pt idx="34">
                  <c:v>23</c:v>
                </c:pt>
                <c:pt idx="35">
                  <c:v>17</c:v>
                </c:pt>
                <c:pt idx="36">
                  <c:v>17</c:v>
                </c:pt>
                <c:pt idx="37">
                  <c:v>15</c:v>
                </c:pt>
                <c:pt idx="38">
                  <c:v>13</c:v>
                </c:pt>
                <c:pt idx="39">
                  <c:v>11</c:v>
                </c:pt>
                <c:pt idx="40">
                  <c:v>10</c:v>
                </c:pt>
                <c:pt idx="41">
                  <c:v>7</c:v>
                </c:pt>
                <c:pt idx="42">
                  <c:v>7</c:v>
                </c:pt>
                <c:pt idx="43">
                  <c:v>5</c:v>
                </c:pt>
                <c:pt idx="4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89-4012-B161-8C5F2583E685}"/>
            </c:ext>
          </c:extLst>
        </c:ser>
        <c:ser>
          <c:idx val="5"/>
          <c:order val="5"/>
          <c:tx>
            <c:strRef>
              <c:f>期末残高推移グラフ!$A$70</c:f>
              <c:strCache>
                <c:ptCount val="1"/>
                <c:pt idx="0">
                  <c:v>生活支援ローン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期末残高推移グラフ!$B$64:$AT$64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期末残高推移グラフ!$B$70:$AT$70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</c:v>
                </c:pt>
                <c:pt idx="35">
                  <c:v>15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18</c:v>
                </c:pt>
                <c:pt idx="42">
                  <c:v>14</c:v>
                </c:pt>
                <c:pt idx="43">
                  <c:v>13</c:v>
                </c:pt>
                <c:pt idx="4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89-4012-B161-8C5F2583E685}"/>
            </c:ext>
          </c:extLst>
        </c:ser>
        <c:ser>
          <c:idx val="6"/>
          <c:order val="6"/>
          <c:tx>
            <c:strRef>
              <c:f>期末残高推移グラフ!$A$71</c:f>
              <c:strCache>
                <c:ptCount val="1"/>
                <c:pt idx="0">
                  <c:v>有価証券貸付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期末残高推移グラフ!$B$64:$AT$64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期末残高推移グラフ!$B$71:$AT$71</c:f>
              <c:numCache>
                <c:formatCode>#,##0_ </c:formatCode>
                <c:ptCount val="4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89-4012-B161-8C5F2583E685}"/>
            </c:ext>
          </c:extLst>
        </c:ser>
        <c:ser>
          <c:idx val="7"/>
          <c:order val="7"/>
          <c:tx>
            <c:strRef>
              <c:f>期末残高推移グラフ!$A$72</c:f>
              <c:strCache>
                <c:ptCount val="1"/>
                <c:pt idx="0">
                  <c:v>厚生貸付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期末残高推移グラフ!$B$64:$AT$64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期末残高推移グラフ!$B$72:$AT$72</c:f>
              <c:numCache>
                <c:formatCode>#,##0_ </c:formatCode>
                <c:ptCount val="45"/>
                <c:pt idx="0">
                  <c:v>0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89-4012-B161-8C5F2583E685}"/>
            </c:ext>
          </c:extLst>
        </c:ser>
        <c:ser>
          <c:idx val="8"/>
          <c:order val="8"/>
          <c:tx>
            <c:strRef>
              <c:f>期末残高推移グラフ!$A$73</c:f>
              <c:strCache>
                <c:ptCount val="1"/>
                <c:pt idx="0">
                  <c:v>動産担保貸付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期末残高推移グラフ!$B$64:$AT$64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期末残高推移グラフ!$B$73:$AT$73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89-4012-B161-8C5F2583E685}"/>
            </c:ext>
          </c:extLst>
        </c:ser>
        <c:ser>
          <c:idx val="9"/>
          <c:order val="9"/>
          <c:tx>
            <c:strRef>
              <c:f>期末残高推移グラフ!$A$74</c:f>
              <c:strCache>
                <c:ptCount val="1"/>
                <c:pt idx="0">
                  <c:v>会員厚生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期末残高推移グラフ!$B$64:$AT$64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期末残高推移グラフ!$B$74:$AT$74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</c:v>
                </c:pt>
                <c:pt idx="12">
                  <c:v>30</c:v>
                </c:pt>
                <c:pt idx="13">
                  <c:v>55</c:v>
                </c:pt>
                <c:pt idx="14">
                  <c:v>54</c:v>
                </c:pt>
                <c:pt idx="15">
                  <c:v>49</c:v>
                </c:pt>
                <c:pt idx="16">
                  <c:v>44</c:v>
                </c:pt>
                <c:pt idx="17">
                  <c:v>47</c:v>
                </c:pt>
                <c:pt idx="18">
                  <c:v>41</c:v>
                </c:pt>
                <c:pt idx="19">
                  <c:v>38</c:v>
                </c:pt>
                <c:pt idx="20">
                  <c:v>34</c:v>
                </c:pt>
                <c:pt idx="21">
                  <c:v>31</c:v>
                </c:pt>
                <c:pt idx="22">
                  <c:v>28</c:v>
                </c:pt>
                <c:pt idx="23">
                  <c:v>11</c:v>
                </c:pt>
                <c:pt idx="24">
                  <c:v>5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89-4012-B161-8C5F2583E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7140832"/>
        <c:axId val="1057139192"/>
      </c:barChart>
      <c:catAx>
        <c:axId val="105714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7139192"/>
        <c:crosses val="autoZero"/>
        <c:auto val="1"/>
        <c:lblAlgn val="ctr"/>
        <c:lblOffset val="100"/>
        <c:noMultiLvlLbl val="0"/>
      </c:catAx>
      <c:valAx>
        <c:axId val="105713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714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ローン種類別期末残高額割合（単位：％）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期末残高推移グラフ!$A$151</c:f>
              <c:strCache>
                <c:ptCount val="1"/>
                <c:pt idx="0">
                  <c:v>無担保ローン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期末残高推移グラフ!$B$150:$AT$150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期末残高推移グラフ!$B$151:$AT$151</c:f>
              <c:numCache>
                <c:formatCode>#,##0_ </c:formatCode>
                <c:ptCount val="45"/>
                <c:pt idx="0">
                  <c:v>1968040</c:v>
                </c:pt>
                <c:pt idx="1">
                  <c:v>6800000</c:v>
                </c:pt>
                <c:pt idx="2">
                  <c:v>4656000</c:v>
                </c:pt>
                <c:pt idx="3">
                  <c:v>5620000</c:v>
                </c:pt>
                <c:pt idx="4">
                  <c:v>3297500</c:v>
                </c:pt>
                <c:pt idx="5">
                  <c:v>2434500</c:v>
                </c:pt>
                <c:pt idx="6">
                  <c:v>16210621</c:v>
                </c:pt>
                <c:pt idx="7">
                  <c:v>26828259</c:v>
                </c:pt>
                <c:pt idx="8">
                  <c:v>55658000</c:v>
                </c:pt>
                <c:pt idx="9">
                  <c:v>78982000</c:v>
                </c:pt>
                <c:pt idx="10">
                  <c:v>92191000</c:v>
                </c:pt>
                <c:pt idx="11">
                  <c:v>92464000</c:v>
                </c:pt>
                <c:pt idx="12">
                  <c:v>85807719</c:v>
                </c:pt>
                <c:pt idx="13">
                  <c:v>77933094</c:v>
                </c:pt>
                <c:pt idx="14">
                  <c:v>68491051</c:v>
                </c:pt>
                <c:pt idx="15">
                  <c:v>130543802</c:v>
                </c:pt>
                <c:pt idx="16">
                  <c:v>280416519</c:v>
                </c:pt>
                <c:pt idx="17">
                  <c:v>552400804</c:v>
                </c:pt>
                <c:pt idx="18">
                  <c:v>957280781</c:v>
                </c:pt>
                <c:pt idx="19">
                  <c:v>1275642242</c:v>
                </c:pt>
                <c:pt idx="20">
                  <c:v>1591330949</c:v>
                </c:pt>
                <c:pt idx="21">
                  <c:v>1829540269</c:v>
                </c:pt>
                <c:pt idx="22">
                  <c:v>2834741826</c:v>
                </c:pt>
                <c:pt idx="23">
                  <c:v>2834741826</c:v>
                </c:pt>
                <c:pt idx="24">
                  <c:v>3078261382</c:v>
                </c:pt>
                <c:pt idx="25">
                  <c:v>3488783089</c:v>
                </c:pt>
                <c:pt idx="26">
                  <c:v>4285224863</c:v>
                </c:pt>
                <c:pt idx="27">
                  <c:v>5032871647</c:v>
                </c:pt>
                <c:pt idx="28">
                  <c:v>5787107392</c:v>
                </c:pt>
                <c:pt idx="29">
                  <c:v>6347850076</c:v>
                </c:pt>
                <c:pt idx="30">
                  <c:v>6545645930</c:v>
                </c:pt>
                <c:pt idx="31">
                  <c:v>6332369119</c:v>
                </c:pt>
                <c:pt idx="32">
                  <c:v>6039263731</c:v>
                </c:pt>
                <c:pt idx="33">
                  <c:v>5652109225</c:v>
                </c:pt>
                <c:pt idx="34">
                  <c:v>4762909545</c:v>
                </c:pt>
                <c:pt idx="35">
                  <c:v>4073054019</c:v>
                </c:pt>
                <c:pt idx="36">
                  <c:v>3727754631</c:v>
                </c:pt>
                <c:pt idx="37">
                  <c:v>3360927813</c:v>
                </c:pt>
                <c:pt idx="38">
                  <c:v>2922319722</c:v>
                </c:pt>
                <c:pt idx="39">
                  <c:v>2432099158</c:v>
                </c:pt>
                <c:pt idx="40">
                  <c:v>2135320423</c:v>
                </c:pt>
                <c:pt idx="41">
                  <c:v>1889037843</c:v>
                </c:pt>
                <c:pt idx="42">
                  <c:v>1636053495</c:v>
                </c:pt>
                <c:pt idx="43">
                  <c:v>1396472077</c:v>
                </c:pt>
                <c:pt idx="44">
                  <c:v>1294305737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9-4A81-B71D-18655FDB3C09}"/>
            </c:ext>
          </c:extLst>
        </c:ser>
        <c:ser>
          <c:idx val="1"/>
          <c:order val="1"/>
          <c:tx>
            <c:strRef>
              <c:f>期末残高推移グラフ!$A$152</c:f>
              <c:strCache>
                <c:ptCount val="1"/>
                <c:pt idx="0">
                  <c:v>オートローン等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期末残高推移グラフ!$B$150:$AT$150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期末残高推移グラフ!$B$152:$AT$152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14539000</c:v>
                </c:pt>
                <c:pt idx="3">
                  <c:v>58337000</c:v>
                </c:pt>
                <c:pt idx="4">
                  <c:v>16724564</c:v>
                </c:pt>
                <c:pt idx="5">
                  <c:v>18871943</c:v>
                </c:pt>
                <c:pt idx="6">
                  <c:v>18942875</c:v>
                </c:pt>
                <c:pt idx="7">
                  <c:v>26731970</c:v>
                </c:pt>
                <c:pt idx="8">
                  <c:v>40140000</c:v>
                </c:pt>
                <c:pt idx="9">
                  <c:v>96527000</c:v>
                </c:pt>
                <c:pt idx="10">
                  <c:v>207018000</c:v>
                </c:pt>
                <c:pt idx="11">
                  <c:v>189344000</c:v>
                </c:pt>
                <c:pt idx="12">
                  <c:v>188953325</c:v>
                </c:pt>
                <c:pt idx="13">
                  <c:v>235214544</c:v>
                </c:pt>
                <c:pt idx="14">
                  <c:v>322154761</c:v>
                </c:pt>
                <c:pt idx="15">
                  <c:v>397794733</c:v>
                </c:pt>
                <c:pt idx="16">
                  <c:v>470280791</c:v>
                </c:pt>
                <c:pt idx="17">
                  <c:v>455659825</c:v>
                </c:pt>
                <c:pt idx="18">
                  <c:v>371577993</c:v>
                </c:pt>
                <c:pt idx="19">
                  <c:v>258768866</c:v>
                </c:pt>
                <c:pt idx="20">
                  <c:v>195044509</c:v>
                </c:pt>
                <c:pt idx="21">
                  <c:v>99829416</c:v>
                </c:pt>
                <c:pt idx="22">
                  <c:v>102058304</c:v>
                </c:pt>
                <c:pt idx="23">
                  <c:v>102058304</c:v>
                </c:pt>
                <c:pt idx="24">
                  <c:v>89747284</c:v>
                </c:pt>
                <c:pt idx="25">
                  <c:v>75715810</c:v>
                </c:pt>
                <c:pt idx="26">
                  <c:v>71666249</c:v>
                </c:pt>
                <c:pt idx="27">
                  <c:v>68795037</c:v>
                </c:pt>
                <c:pt idx="28">
                  <c:v>63056882</c:v>
                </c:pt>
                <c:pt idx="29">
                  <c:v>50934681</c:v>
                </c:pt>
                <c:pt idx="30">
                  <c:v>59292347</c:v>
                </c:pt>
                <c:pt idx="31">
                  <c:v>67945308</c:v>
                </c:pt>
                <c:pt idx="32">
                  <c:v>79839905</c:v>
                </c:pt>
                <c:pt idx="33">
                  <c:v>170131573</c:v>
                </c:pt>
                <c:pt idx="34">
                  <c:v>253477145</c:v>
                </c:pt>
                <c:pt idx="35">
                  <c:v>275457322</c:v>
                </c:pt>
                <c:pt idx="36">
                  <c:v>263371546</c:v>
                </c:pt>
                <c:pt idx="37">
                  <c:v>281500704</c:v>
                </c:pt>
                <c:pt idx="38">
                  <c:v>287316562</c:v>
                </c:pt>
                <c:pt idx="39">
                  <c:v>262155395</c:v>
                </c:pt>
                <c:pt idx="40">
                  <c:v>260477211</c:v>
                </c:pt>
                <c:pt idx="41">
                  <c:v>258603310</c:v>
                </c:pt>
                <c:pt idx="42">
                  <c:v>216437403</c:v>
                </c:pt>
                <c:pt idx="43">
                  <c:v>194904595</c:v>
                </c:pt>
                <c:pt idx="44">
                  <c:v>171519449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9-4A81-B71D-18655FDB3C09}"/>
            </c:ext>
          </c:extLst>
        </c:ser>
        <c:ser>
          <c:idx val="2"/>
          <c:order val="2"/>
          <c:tx>
            <c:strRef>
              <c:f>期末残高推移グラフ!$A$153</c:f>
              <c:strCache>
                <c:ptCount val="1"/>
                <c:pt idx="0">
                  <c:v>不動産ローン等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期末残高推移グラフ!$B$150:$AT$150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期末残高推移グラフ!$B$153:$AT$153</c:f>
              <c:numCache>
                <c:formatCode>#,##0_ </c:formatCode>
                <c:ptCount val="45"/>
                <c:pt idx="0">
                  <c:v>50703606</c:v>
                </c:pt>
                <c:pt idx="1">
                  <c:v>22720000</c:v>
                </c:pt>
                <c:pt idx="2">
                  <c:v>27397000</c:v>
                </c:pt>
                <c:pt idx="3">
                  <c:v>37422000</c:v>
                </c:pt>
                <c:pt idx="4">
                  <c:v>30009321</c:v>
                </c:pt>
                <c:pt idx="5">
                  <c:v>34320299</c:v>
                </c:pt>
                <c:pt idx="6">
                  <c:v>84941108</c:v>
                </c:pt>
                <c:pt idx="7">
                  <c:v>144168831</c:v>
                </c:pt>
                <c:pt idx="8">
                  <c:v>219593000</c:v>
                </c:pt>
                <c:pt idx="9">
                  <c:v>229780000</c:v>
                </c:pt>
                <c:pt idx="10">
                  <c:v>221016000</c:v>
                </c:pt>
                <c:pt idx="11">
                  <c:v>217717000</c:v>
                </c:pt>
                <c:pt idx="12">
                  <c:v>117429368</c:v>
                </c:pt>
                <c:pt idx="13">
                  <c:v>131578823</c:v>
                </c:pt>
                <c:pt idx="14">
                  <c:v>112982040</c:v>
                </c:pt>
                <c:pt idx="15">
                  <c:v>153147012</c:v>
                </c:pt>
                <c:pt idx="16">
                  <c:v>145721719</c:v>
                </c:pt>
                <c:pt idx="17">
                  <c:v>202896428</c:v>
                </c:pt>
                <c:pt idx="18">
                  <c:v>309214013</c:v>
                </c:pt>
                <c:pt idx="19">
                  <c:v>487874671</c:v>
                </c:pt>
                <c:pt idx="20">
                  <c:v>604687414</c:v>
                </c:pt>
                <c:pt idx="21">
                  <c:v>481641038</c:v>
                </c:pt>
                <c:pt idx="22">
                  <c:v>698515584</c:v>
                </c:pt>
                <c:pt idx="23">
                  <c:v>698515584</c:v>
                </c:pt>
                <c:pt idx="24">
                  <c:v>603265527</c:v>
                </c:pt>
                <c:pt idx="25">
                  <c:v>718432775</c:v>
                </c:pt>
                <c:pt idx="26">
                  <c:v>735622069</c:v>
                </c:pt>
                <c:pt idx="27">
                  <c:v>665284067</c:v>
                </c:pt>
                <c:pt idx="28">
                  <c:v>798807096</c:v>
                </c:pt>
                <c:pt idx="29">
                  <c:v>901040322</c:v>
                </c:pt>
                <c:pt idx="30">
                  <c:v>1109372415</c:v>
                </c:pt>
                <c:pt idx="31">
                  <c:v>1150817008</c:v>
                </c:pt>
                <c:pt idx="32">
                  <c:v>1053837342</c:v>
                </c:pt>
                <c:pt idx="33">
                  <c:v>955637013</c:v>
                </c:pt>
                <c:pt idx="34">
                  <c:v>869671923</c:v>
                </c:pt>
                <c:pt idx="35">
                  <c:v>755810948</c:v>
                </c:pt>
                <c:pt idx="36">
                  <c:v>638636452</c:v>
                </c:pt>
                <c:pt idx="37">
                  <c:v>552181549</c:v>
                </c:pt>
                <c:pt idx="38">
                  <c:v>480337471</c:v>
                </c:pt>
                <c:pt idx="39">
                  <c:v>436033313</c:v>
                </c:pt>
                <c:pt idx="40">
                  <c:v>404590373</c:v>
                </c:pt>
                <c:pt idx="41">
                  <c:v>366499032</c:v>
                </c:pt>
                <c:pt idx="42">
                  <c:v>346463144</c:v>
                </c:pt>
                <c:pt idx="43">
                  <c:v>301947011</c:v>
                </c:pt>
                <c:pt idx="44">
                  <c:v>276290510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49-4A81-B71D-18655FDB3C09}"/>
            </c:ext>
          </c:extLst>
        </c:ser>
        <c:ser>
          <c:idx val="3"/>
          <c:order val="3"/>
          <c:tx>
            <c:strRef>
              <c:f>期末残高推移グラフ!$A$154</c:f>
              <c:strCache>
                <c:ptCount val="1"/>
                <c:pt idx="0">
                  <c:v>火災共済貸付等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期末残高推移グラフ!$B$150:$AT$150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期末残高推移グラフ!$B$154:$AT$154</c:f>
              <c:numCache>
                <c:formatCode>#,##0_ </c:formatCode>
                <c:ptCount val="45"/>
                <c:pt idx="0">
                  <c:v>440000</c:v>
                </c:pt>
                <c:pt idx="1">
                  <c:v>20012000</c:v>
                </c:pt>
                <c:pt idx="2">
                  <c:v>36818000</c:v>
                </c:pt>
                <c:pt idx="3">
                  <c:v>102710000</c:v>
                </c:pt>
                <c:pt idx="4">
                  <c:v>22912886</c:v>
                </c:pt>
                <c:pt idx="5">
                  <c:v>20405122</c:v>
                </c:pt>
                <c:pt idx="6">
                  <c:v>15508435</c:v>
                </c:pt>
                <c:pt idx="7">
                  <c:v>7616070</c:v>
                </c:pt>
                <c:pt idx="8">
                  <c:v>9951000</c:v>
                </c:pt>
                <c:pt idx="9">
                  <c:v>11428000</c:v>
                </c:pt>
                <c:pt idx="10">
                  <c:v>31140000</c:v>
                </c:pt>
                <c:pt idx="11">
                  <c:v>50244000</c:v>
                </c:pt>
                <c:pt idx="12">
                  <c:v>93896006</c:v>
                </c:pt>
                <c:pt idx="13">
                  <c:v>133487612</c:v>
                </c:pt>
                <c:pt idx="14">
                  <c:v>247946323</c:v>
                </c:pt>
                <c:pt idx="15">
                  <c:v>249162538</c:v>
                </c:pt>
                <c:pt idx="16">
                  <c:v>277362930</c:v>
                </c:pt>
                <c:pt idx="17">
                  <c:v>275044827</c:v>
                </c:pt>
                <c:pt idx="18">
                  <c:v>229247685</c:v>
                </c:pt>
                <c:pt idx="19">
                  <c:v>177011587</c:v>
                </c:pt>
                <c:pt idx="20">
                  <c:v>169434264</c:v>
                </c:pt>
                <c:pt idx="21">
                  <c:v>80570632</c:v>
                </c:pt>
                <c:pt idx="22">
                  <c:v>190769332</c:v>
                </c:pt>
                <c:pt idx="23">
                  <c:v>190769332</c:v>
                </c:pt>
                <c:pt idx="24">
                  <c:v>187464988</c:v>
                </c:pt>
                <c:pt idx="25">
                  <c:v>200350556</c:v>
                </c:pt>
                <c:pt idx="26">
                  <c:v>231516152</c:v>
                </c:pt>
                <c:pt idx="27">
                  <c:v>213387117</c:v>
                </c:pt>
                <c:pt idx="28">
                  <c:v>211332088</c:v>
                </c:pt>
                <c:pt idx="29">
                  <c:v>211657256</c:v>
                </c:pt>
                <c:pt idx="30">
                  <c:v>212606197</c:v>
                </c:pt>
                <c:pt idx="31">
                  <c:v>244506951</c:v>
                </c:pt>
                <c:pt idx="32">
                  <c:v>249259263</c:v>
                </c:pt>
                <c:pt idx="33">
                  <c:v>296504436</c:v>
                </c:pt>
                <c:pt idx="34">
                  <c:v>240256897</c:v>
                </c:pt>
                <c:pt idx="35">
                  <c:v>255553148</c:v>
                </c:pt>
                <c:pt idx="36">
                  <c:v>337720292</c:v>
                </c:pt>
                <c:pt idx="37">
                  <c:v>400482098</c:v>
                </c:pt>
                <c:pt idx="38">
                  <c:v>435899317</c:v>
                </c:pt>
                <c:pt idx="39">
                  <c:v>435817817</c:v>
                </c:pt>
                <c:pt idx="40">
                  <c:v>419699000</c:v>
                </c:pt>
                <c:pt idx="41">
                  <c:v>377051589</c:v>
                </c:pt>
                <c:pt idx="42">
                  <c:v>332859167</c:v>
                </c:pt>
                <c:pt idx="43">
                  <c:v>280980451</c:v>
                </c:pt>
                <c:pt idx="44">
                  <c:v>228039738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49-4A81-B71D-18655FDB3C09}"/>
            </c:ext>
          </c:extLst>
        </c:ser>
        <c:ser>
          <c:idx val="4"/>
          <c:order val="4"/>
          <c:tx>
            <c:strRef>
              <c:f>期末残高推移グラフ!$A$155</c:f>
              <c:strCache>
                <c:ptCount val="1"/>
                <c:pt idx="0">
                  <c:v>共済会ローン等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期末残高推移グラフ!$B$150:$AT$150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期末残高推移グラフ!$B$155:$AT$155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28023000</c:v>
                </c:pt>
                <c:pt idx="9">
                  <c:v>26219000</c:v>
                </c:pt>
                <c:pt idx="10">
                  <c:v>35865000</c:v>
                </c:pt>
                <c:pt idx="11">
                  <c:v>36317000</c:v>
                </c:pt>
                <c:pt idx="12">
                  <c:v>32295420</c:v>
                </c:pt>
                <c:pt idx="13">
                  <c:v>356208751</c:v>
                </c:pt>
                <c:pt idx="14">
                  <c:v>347878740</c:v>
                </c:pt>
                <c:pt idx="15">
                  <c:v>356200416</c:v>
                </c:pt>
                <c:pt idx="16">
                  <c:v>346530237</c:v>
                </c:pt>
                <c:pt idx="17">
                  <c:v>358999968</c:v>
                </c:pt>
                <c:pt idx="18">
                  <c:v>322183554</c:v>
                </c:pt>
                <c:pt idx="19">
                  <c:v>317934442</c:v>
                </c:pt>
                <c:pt idx="20">
                  <c:v>283290328</c:v>
                </c:pt>
                <c:pt idx="21">
                  <c:v>97676025</c:v>
                </c:pt>
                <c:pt idx="22">
                  <c:v>170121243</c:v>
                </c:pt>
                <c:pt idx="23">
                  <c:v>170121243</c:v>
                </c:pt>
                <c:pt idx="24">
                  <c:v>138409562</c:v>
                </c:pt>
                <c:pt idx="25">
                  <c:v>99585678</c:v>
                </c:pt>
                <c:pt idx="26">
                  <c:v>91504871</c:v>
                </c:pt>
                <c:pt idx="27">
                  <c:v>78158233</c:v>
                </c:pt>
                <c:pt idx="28">
                  <c:v>65164621</c:v>
                </c:pt>
                <c:pt idx="29">
                  <c:v>54722975</c:v>
                </c:pt>
                <c:pt idx="30">
                  <c:v>43555953</c:v>
                </c:pt>
                <c:pt idx="31">
                  <c:v>43598697</c:v>
                </c:pt>
                <c:pt idx="32">
                  <c:v>43774405</c:v>
                </c:pt>
                <c:pt idx="33">
                  <c:v>41125777</c:v>
                </c:pt>
                <c:pt idx="34">
                  <c:v>31331789</c:v>
                </c:pt>
                <c:pt idx="35">
                  <c:v>24211483</c:v>
                </c:pt>
                <c:pt idx="36">
                  <c:v>23109835</c:v>
                </c:pt>
                <c:pt idx="37">
                  <c:v>17962610</c:v>
                </c:pt>
                <c:pt idx="38">
                  <c:v>13701132</c:v>
                </c:pt>
                <c:pt idx="39">
                  <c:v>10730323</c:v>
                </c:pt>
                <c:pt idx="40">
                  <c:v>8017519</c:v>
                </c:pt>
                <c:pt idx="41">
                  <c:v>5170391</c:v>
                </c:pt>
                <c:pt idx="42">
                  <c:v>4284454</c:v>
                </c:pt>
                <c:pt idx="43">
                  <c:v>3643057</c:v>
                </c:pt>
                <c:pt idx="44">
                  <c:v>1245377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49-4A81-B71D-18655FDB3C09}"/>
            </c:ext>
          </c:extLst>
        </c:ser>
        <c:ser>
          <c:idx val="5"/>
          <c:order val="5"/>
          <c:tx>
            <c:strRef>
              <c:f>期末残高推移グラフ!$A$156</c:f>
              <c:strCache>
                <c:ptCount val="1"/>
                <c:pt idx="0">
                  <c:v>生活支援ローン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期末残高推移グラフ!$B$150:$AT$150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期末残高推移グラフ!$B$156:$AT$156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10301102</c:v>
                </c:pt>
                <c:pt idx="35">
                  <c:v>19420685</c:v>
                </c:pt>
                <c:pt idx="36">
                  <c:v>29432871</c:v>
                </c:pt>
                <c:pt idx="37">
                  <c:v>25296052</c:v>
                </c:pt>
                <c:pt idx="38">
                  <c:v>27207041</c:v>
                </c:pt>
                <c:pt idx="39">
                  <c:v>24617828</c:v>
                </c:pt>
                <c:pt idx="40">
                  <c:v>24441441</c:v>
                </c:pt>
                <c:pt idx="41">
                  <c:v>21600538</c:v>
                </c:pt>
                <c:pt idx="42">
                  <c:v>16162126</c:v>
                </c:pt>
                <c:pt idx="43">
                  <c:v>12619899</c:v>
                </c:pt>
                <c:pt idx="44">
                  <c:v>14578530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49-4A81-B71D-18655FDB3C09}"/>
            </c:ext>
          </c:extLst>
        </c:ser>
        <c:ser>
          <c:idx val="6"/>
          <c:order val="6"/>
          <c:tx>
            <c:strRef>
              <c:f>期末残高推移グラフ!$A$157</c:f>
              <c:strCache>
                <c:ptCount val="1"/>
                <c:pt idx="0">
                  <c:v>有価証券貸付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期末残高推移グラフ!$B$150:$AT$150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期末残高推移グラフ!$B$157:$AT$157</c:f>
              <c:numCache>
                <c:formatCode>#,##0_ </c:formatCode>
                <c:ptCount val="45"/>
                <c:pt idx="0">
                  <c:v>3356160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1261066</c:v>
                </c:pt>
                <c:pt idx="6">
                  <c:v>2000000</c:v>
                </c:pt>
                <c:pt idx="7">
                  <c:v>3000000</c:v>
                </c:pt>
                <c:pt idx="8">
                  <c:v>2835000</c:v>
                </c:pt>
                <c:pt idx="9">
                  <c:v>655000</c:v>
                </c:pt>
                <c:pt idx="10">
                  <c:v>456000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49-4A81-B71D-18655FDB3C09}"/>
            </c:ext>
          </c:extLst>
        </c:ser>
        <c:ser>
          <c:idx val="7"/>
          <c:order val="7"/>
          <c:tx>
            <c:strRef>
              <c:f>期末残高推移グラフ!$A$158</c:f>
              <c:strCache>
                <c:ptCount val="1"/>
                <c:pt idx="0">
                  <c:v>厚生貸付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期末残高推移グラフ!$B$150:$AT$150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期末残高推移グラフ!$B$158:$AT$158</c:f>
              <c:numCache>
                <c:formatCode>#,##0_ </c:formatCode>
                <c:ptCount val="45"/>
                <c:pt idx="0">
                  <c:v>0</c:v>
                </c:pt>
                <c:pt idx="1">
                  <c:v>20000000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18523000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49-4A81-B71D-18655FDB3C09}"/>
            </c:ext>
          </c:extLst>
        </c:ser>
        <c:ser>
          <c:idx val="8"/>
          <c:order val="8"/>
          <c:tx>
            <c:strRef>
              <c:f>期末残高推移グラフ!$A$159</c:f>
              <c:strCache>
                <c:ptCount val="1"/>
                <c:pt idx="0">
                  <c:v>動産担保貸付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期末残高推移グラフ!$B$150:$AT$150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期末残高推移グラフ!$B$159:$AT$159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1772300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49-4A81-B71D-18655FDB3C09}"/>
            </c:ext>
          </c:extLst>
        </c:ser>
        <c:ser>
          <c:idx val="9"/>
          <c:order val="9"/>
          <c:tx>
            <c:strRef>
              <c:f>期末残高推移グラフ!$A$160</c:f>
              <c:strCache>
                <c:ptCount val="1"/>
                <c:pt idx="0">
                  <c:v>会員厚生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期末残高推移グラフ!$B$150:$AT$150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期末残高推移グラフ!$B$160:$AT$160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25364000</c:v>
                </c:pt>
                <c:pt idx="9">
                  <c:v>0</c:v>
                </c:pt>
                <c:pt idx="10">
                  <c:v>17632000</c:v>
                </c:pt>
                <c:pt idx="11">
                  <c:v>24725000</c:v>
                </c:pt>
                <c:pt idx="12">
                  <c:v>29735946</c:v>
                </c:pt>
                <c:pt idx="13">
                  <c:v>42838977</c:v>
                </c:pt>
                <c:pt idx="14">
                  <c:v>48622378</c:v>
                </c:pt>
                <c:pt idx="15">
                  <c:v>49873564</c:v>
                </c:pt>
                <c:pt idx="16">
                  <c:v>54353540</c:v>
                </c:pt>
                <c:pt idx="17">
                  <c:v>64465843</c:v>
                </c:pt>
                <c:pt idx="18">
                  <c:v>44356881</c:v>
                </c:pt>
                <c:pt idx="19">
                  <c:v>47396280</c:v>
                </c:pt>
                <c:pt idx="20">
                  <c:v>88933318</c:v>
                </c:pt>
                <c:pt idx="21">
                  <c:v>152656468</c:v>
                </c:pt>
                <c:pt idx="22">
                  <c:v>7716040</c:v>
                </c:pt>
                <c:pt idx="23">
                  <c:v>7716040</c:v>
                </c:pt>
                <c:pt idx="24">
                  <c:v>5093395</c:v>
                </c:pt>
                <c:pt idx="25">
                  <c:v>3107422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149-4A81-B71D-18655FDB3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8483784"/>
        <c:axId val="528484112"/>
      </c:barChart>
      <c:catAx>
        <c:axId val="52848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8484112"/>
        <c:crosses val="autoZero"/>
        <c:auto val="1"/>
        <c:lblAlgn val="ctr"/>
        <c:lblOffset val="100"/>
        <c:noMultiLvlLbl val="0"/>
      </c:catAx>
      <c:valAx>
        <c:axId val="52848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848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ローン種類別期末残高件数（単位：円）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期末残高推移グラフ!$A$78</c:f>
              <c:strCache>
                <c:ptCount val="1"/>
                <c:pt idx="0">
                  <c:v>スイッチローン・生活再建資金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期末残高推移グラフ!$B$77:$AT$77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期末残高推移グラフ!$B$78:$AT$78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1535</c:v>
                </c:pt>
                <c:pt idx="25">
                  <c:v>1747</c:v>
                </c:pt>
                <c:pt idx="26">
                  <c:v>2143</c:v>
                </c:pt>
                <c:pt idx="27">
                  <c:v>2495</c:v>
                </c:pt>
                <c:pt idx="28">
                  <c:v>2861</c:v>
                </c:pt>
                <c:pt idx="29">
                  <c:v>3245</c:v>
                </c:pt>
                <c:pt idx="30">
                  <c:v>3485</c:v>
                </c:pt>
                <c:pt idx="31">
                  <c:v>3525</c:v>
                </c:pt>
                <c:pt idx="32">
                  <c:v>3568</c:v>
                </c:pt>
                <c:pt idx="33">
                  <c:v>3544</c:v>
                </c:pt>
                <c:pt idx="34">
                  <c:v>3357</c:v>
                </c:pt>
                <c:pt idx="35">
                  <c:v>3127</c:v>
                </c:pt>
                <c:pt idx="36">
                  <c:v>3137</c:v>
                </c:pt>
                <c:pt idx="37">
                  <c:v>3090</c:v>
                </c:pt>
                <c:pt idx="38">
                  <c:v>2919</c:v>
                </c:pt>
                <c:pt idx="39">
                  <c:v>2595</c:v>
                </c:pt>
                <c:pt idx="40">
                  <c:v>2420</c:v>
                </c:pt>
                <c:pt idx="41">
                  <c:v>2242</c:v>
                </c:pt>
                <c:pt idx="42">
                  <c:v>1990</c:v>
                </c:pt>
                <c:pt idx="43">
                  <c:v>1754</c:v>
                </c:pt>
                <c:pt idx="44">
                  <c:v>1577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C-431B-8E91-8C4522F8AC92}"/>
            </c:ext>
          </c:extLst>
        </c:ser>
        <c:ser>
          <c:idx val="1"/>
          <c:order val="1"/>
          <c:tx>
            <c:strRef>
              <c:f>期末残高推移グラフ!$A$79</c:f>
              <c:strCache>
                <c:ptCount val="1"/>
                <c:pt idx="0">
                  <c:v>共済会関連貸付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期末残高推移グラフ!$B$77:$AT$77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期末残高推移グラフ!$B$79:$AT$79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3146</c:v>
                </c:pt>
                <c:pt idx="12">
                  <c:v>3068</c:v>
                </c:pt>
                <c:pt idx="13">
                  <c:v>3577</c:v>
                </c:pt>
                <c:pt idx="14">
                  <c:v>3259</c:v>
                </c:pt>
                <c:pt idx="15">
                  <c:v>3232</c:v>
                </c:pt>
                <c:pt idx="16">
                  <c:v>2895</c:v>
                </c:pt>
                <c:pt idx="17">
                  <c:v>3185</c:v>
                </c:pt>
                <c:pt idx="18">
                  <c:v>2819</c:v>
                </c:pt>
                <c:pt idx="19">
                  <c:v>2914</c:v>
                </c:pt>
                <c:pt idx="20">
                  <c:v>2859</c:v>
                </c:pt>
                <c:pt idx="21">
                  <c:v>2256</c:v>
                </c:pt>
                <c:pt idx="22">
                  <c:v>370</c:v>
                </c:pt>
                <c:pt idx="23">
                  <c:v>390</c:v>
                </c:pt>
                <c:pt idx="24">
                  <c:v>90</c:v>
                </c:pt>
                <c:pt idx="25">
                  <c:v>72</c:v>
                </c:pt>
                <c:pt idx="26">
                  <c:v>61</c:v>
                </c:pt>
                <c:pt idx="27">
                  <c:v>51</c:v>
                </c:pt>
                <c:pt idx="28">
                  <c:v>43</c:v>
                </c:pt>
                <c:pt idx="29">
                  <c:v>41</c:v>
                </c:pt>
                <c:pt idx="30">
                  <c:v>35</c:v>
                </c:pt>
                <c:pt idx="31">
                  <c:v>34</c:v>
                </c:pt>
                <c:pt idx="32">
                  <c:v>29</c:v>
                </c:pt>
                <c:pt idx="33">
                  <c:v>26</c:v>
                </c:pt>
                <c:pt idx="34">
                  <c:v>23</c:v>
                </c:pt>
                <c:pt idx="35">
                  <c:v>17</c:v>
                </c:pt>
                <c:pt idx="36">
                  <c:v>17</c:v>
                </c:pt>
                <c:pt idx="37">
                  <c:v>15</c:v>
                </c:pt>
                <c:pt idx="38">
                  <c:v>13</c:v>
                </c:pt>
                <c:pt idx="39">
                  <c:v>11</c:v>
                </c:pt>
                <c:pt idx="40">
                  <c:v>10</c:v>
                </c:pt>
                <c:pt idx="41">
                  <c:v>7</c:v>
                </c:pt>
                <c:pt idx="42">
                  <c:v>7</c:v>
                </c:pt>
                <c:pt idx="43">
                  <c:v>5</c:v>
                </c:pt>
                <c:pt idx="4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7C-431B-8E91-8C4522F8AC92}"/>
            </c:ext>
          </c:extLst>
        </c:ser>
        <c:ser>
          <c:idx val="2"/>
          <c:order val="2"/>
          <c:tx>
            <c:strRef>
              <c:f>期末残高推移グラフ!$A$80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期末残高推移グラフ!$B$77:$AT$77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期末残高推移グラフ!$B$80:$AT$80</c:f>
              <c:numCache>
                <c:formatCode>#,##0_ </c:formatCode>
                <c:ptCount val="45"/>
                <c:pt idx="0">
                  <c:v>68</c:v>
                </c:pt>
                <c:pt idx="1">
                  <c:v>411</c:v>
                </c:pt>
                <c:pt idx="2">
                  <c:v>2424</c:v>
                </c:pt>
                <c:pt idx="3">
                  <c:v>0</c:v>
                </c:pt>
                <c:pt idx="4">
                  <c:v>3685</c:v>
                </c:pt>
                <c:pt idx="5">
                  <c:v>3924</c:v>
                </c:pt>
                <c:pt idx="6">
                  <c:v>2665</c:v>
                </c:pt>
                <c:pt idx="7">
                  <c:v>2959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752</c:v>
                </c:pt>
                <c:pt idx="12">
                  <c:v>921</c:v>
                </c:pt>
                <c:pt idx="13">
                  <c:v>1310</c:v>
                </c:pt>
                <c:pt idx="14">
                  <c:v>1167</c:v>
                </c:pt>
                <c:pt idx="15">
                  <c:v>1667</c:v>
                </c:pt>
                <c:pt idx="16">
                  <c:v>1491</c:v>
                </c:pt>
                <c:pt idx="17">
                  <c:v>1604</c:v>
                </c:pt>
                <c:pt idx="18">
                  <c:v>1721</c:v>
                </c:pt>
                <c:pt idx="19">
                  <c:v>2187</c:v>
                </c:pt>
                <c:pt idx="20">
                  <c:v>1658</c:v>
                </c:pt>
                <c:pt idx="21">
                  <c:v>1713</c:v>
                </c:pt>
                <c:pt idx="22">
                  <c:v>1997</c:v>
                </c:pt>
                <c:pt idx="23">
                  <c:v>2145</c:v>
                </c:pt>
                <c:pt idx="24">
                  <c:v>944</c:v>
                </c:pt>
                <c:pt idx="25">
                  <c:v>887</c:v>
                </c:pt>
                <c:pt idx="26">
                  <c:v>920</c:v>
                </c:pt>
                <c:pt idx="27">
                  <c:v>931</c:v>
                </c:pt>
                <c:pt idx="28">
                  <c:v>952</c:v>
                </c:pt>
                <c:pt idx="29">
                  <c:v>977</c:v>
                </c:pt>
                <c:pt idx="30">
                  <c:v>1084</c:v>
                </c:pt>
                <c:pt idx="31">
                  <c:v>1133</c:v>
                </c:pt>
                <c:pt idx="32">
                  <c:v>1120</c:v>
                </c:pt>
                <c:pt idx="33">
                  <c:v>1159</c:v>
                </c:pt>
                <c:pt idx="34">
                  <c:v>1207</c:v>
                </c:pt>
                <c:pt idx="35">
                  <c:v>1192</c:v>
                </c:pt>
                <c:pt idx="36">
                  <c:v>1147</c:v>
                </c:pt>
                <c:pt idx="37">
                  <c:v>1179</c:v>
                </c:pt>
                <c:pt idx="38">
                  <c:v>1117</c:v>
                </c:pt>
                <c:pt idx="39">
                  <c:v>1012</c:v>
                </c:pt>
                <c:pt idx="40">
                  <c:v>920</c:v>
                </c:pt>
                <c:pt idx="41">
                  <c:v>858</c:v>
                </c:pt>
                <c:pt idx="42">
                  <c:v>817</c:v>
                </c:pt>
                <c:pt idx="43">
                  <c:v>735</c:v>
                </c:pt>
                <c:pt idx="44">
                  <c:v>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7C-431B-8E91-8C4522F8A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6829560"/>
        <c:axId val="916838416"/>
      </c:barChart>
      <c:catAx>
        <c:axId val="91682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16838416"/>
        <c:crosses val="autoZero"/>
        <c:auto val="1"/>
        <c:lblAlgn val="ctr"/>
        <c:lblOffset val="100"/>
        <c:noMultiLvlLbl val="0"/>
      </c:catAx>
      <c:valAx>
        <c:axId val="91683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1682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ローン種類別期末残高件数割合（単位：％）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期末残高推移グラフ!$A$78</c:f>
              <c:strCache>
                <c:ptCount val="1"/>
                <c:pt idx="0">
                  <c:v>スイッチローン・生活再建資金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期末残高推移グラフ!$B$77:$AT$77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期末残高推移グラフ!$B$78:$AT$78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1535</c:v>
                </c:pt>
                <c:pt idx="25">
                  <c:v>1747</c:v>
                </c:pt>
                <c:pt idx="26">
                  <c:v>2143</c:v>
                </c:pt>
                <c:pt idx="27">
                  <c:v>2495</c:v>
                </c:pt>
                <c:pt idx="28">
                  <c:v>2861</c:v>
                </c:pt>
                <c:pt idx="29">
                  <c:v>3245</c:v>
                </c:pt>
                <c:pt idx="30">
                  <c:v>3485</c:v>
                </c:pt>
                <c:pt idx="31">
                  <c:v>3525</c:v>
                </c:pt>
                <c:pt idx="32">
                  <c:v>3568</c:v>
                </c:pt>
                <c:pt idx="33">
                  <c:v>3544</c:v>
                </c:pt>
                <c:pt idx="34">
                  <c:v>3357</c:v>
                </c:pt>
                <c:pt idx="35">
                  <c:v>3127</c:v>
                </c:pt>
                <c:pt idx="36">
                  <c:v>3137</c:v>
                </c:pt>
                <c:pt idx="37">
                  <c:v>3090</c:v>
                </c:pt>
                <c:pt idx="38">
                  <c:v>2919</c:v>
                </c:pt>
                <c:pt idx="39">
                  <c:v>2595</c:v>
                </c:pt>
                <c:pt idx="40">
                  <c:v>2420</c:v>
                </c:pt>
                <c:pt idx="41">
                  <c:v>2242</c:v>
                </c:pt>
                <c:pt idx="42">
                  <c:v>1990</c:v>
                </c:pt>
                <c:pt idx="43">
                  <c:v>1754</c:v>
                </c:pt>
                <c:pt idx="44">
                  <c:v>1577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7-440B-A281-379297590979}"/>
            </c:ext>
          </c:extLst>
        </c:ser>
        <c:ser>
          <c:idx val="1"/>
          <c:order val="1"/>
          <c:tx>
            <c:strRef>
              <c:f>期末残高推移グラフ!$A$79</c:f>
              <c:strCache>
                <c:ptCount val="1"/>
                <c:pt idx="0">
                  <c:v>共済会関連貸付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期末残高推移グラフ!$B$77:$AT$77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期末残高推移グラフ!$B$79:$AT$79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3146</c:v>
                </c:pt>
                <c:pt idx="12">
                  <c:v>3068</c:v>
                </c:pt>
                <c:pt idx="13">
                  <c:v>3577</c:v>
                </c:pt>
                <c:pt idx="14">
                  <c:v>3259</c:v>
                </c:pt>
                <c:pt idx="15">
                  <c:v>3232</c:v>
                </c:pt>
                <c:pt idx="16">
                  <c:v>2895</c:v>
                </c:pt>
                <c:pt idx="17">
                  <c:v>3185</c:v>
                </c:pt>
                <c:pt idx="18">
                  <c:v>2819</c:v>
                </c:pt>
                <c:pt idx="19">
                  <c:v>2914</c:v>
                </c:pt>
                <c:pt idx="20">
                  <c:v>2859</c:v>
                </c:pt>
                <c:pt idx="21">
                  <c:v>2256</c:v>
                </c:pt>
                <c:pt idx="22">
                  <c:v>370</c:v>
                </c:pt>
                <c:pt idx="23">
                  <c:v>390</c:v>
                </c:pt>
                <c:pt idx="24">
                  <c:v>90</c:v>
                </c:pt>
                <c:pt idx="25">
                  <c:v>72</c:v>
                </c:pt>
                <c:pt idx="26">
                  <c:v>61</c:v>
                </c:pt>
                <c:pt idx="27">
                  <c:v>51</c:v>
                </c:pt>
                <c:pt idx="28">
                  <c:v>43</c:v>
                </c:pt>
                <c:pt idx="29">
                  <c:v>41</c:v>
                </c:pt>
                <c:pt idx="30">
                  <c:v>35</c:v>
                </c:pt>
                <c:pt idx="31">
                  <c:v>34</c:v>
                </c:pt>
                <c:pt idx="32">
                  <c:v>29</c:v>
                </c:pt>
                <c:pt idx="33">
                  <c:v>26</c:v>
                </c:pt>
                <c:pt idx="34">
                  <c:v>23</c:v>
                </c:pt>
                <c:pt idx="35">
                  <c:v>17</c:v>
                </c:pt>
                <c:pt idx="36">
                  <c:v>17</c:v>
                </c:pt>
                <c:pt idx="37">
                  <c:v>15</c:v>
                </c:pt>
                <c:pt idx="38">
                  <c:v>13</c:v>
                </c:pt>
                <c:pt idx="39">
                  <c:v>11</c:v>
                </c:pt>
                <c:pt idx="40">
                  <c:v>10</c:v>
                </c:pt>
                <c:pt idx="41">
                  <c:v>7</c:v>
                </c:pt>
                <c:pt idx="42">
                  <c:v>7</c:v>
                </c:pt>
                <c:pt idx="43">
                  <c:v>5</c:v>
                </c:pt>
                <c:pt idx="4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7-440B-A281-379297590979}"/>
            </c:ext>
          </c:extLst>
        </c:ser>
        <c:ser>
          <c:idx val="2"/>
          <c:order val="2"/>
          <c:tx>
            <c:strRef>
              <c:f>期末残高推移グラフ!$A$80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期末残高推移グラフ!$B$77:$AT$77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期末残高推移グラフ!$B$80:$AT$80</c:f>
              <c:numCache>
                <c:formatCode>#,##0_ </c:formatCode>
                <c:ptCount val="45"/>
                <c:pt idx="0">
                  <c:v>68</c:v>
                </c:pt>
                <c:pt idx="1">
                  <c:v>411</c:v>
                </c:pt>
                <c:pt idx="2">
                  <c:v>2424</c:v>
                </c:pt>
                <c:pt idx="3">
                  <c:v>0</c:v>
                </c:pt>
                <c:pt idx="4">
                  <c:v>3685</c:v>
                </c:pt>
                <c:pt idx="5">
                  <c:v>3924</c:v>
                </c:pt>
                <c:pt idx="6">
                  <c:v>2665</c:v>
                </c:pt>
                <c:pt idx="7">
                  <c:v>2959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752</c:v>
                </c:pt>
                <c:pt idx="12">
                  <c:v>921</c:v>
                </c:pt>
                <c:pt idx="13">
                  <c:v>1310</c:v>
                </c:pt>
                <c:pt idx="14">
                  <c:v>1167</c:v>
                </c:pt>
                <c:pt idx="15">
                  <c:v>1667</c:v>
                </c:pt>
                <c:pt idx="16">
                  <c:v>1491</c:v>
                </c:pt>
                <c:pt idx="17">
                  <c:v>1604</c:v>
                </c:pt>
                <c:pt idx="18">
                  <c:v>1721</c:v>
                </c:pt>
                <c:pt idx="19">
                  <c:v>2187</c:v>
                </c:pt>
                <c:pt idx="20">
                  <c:v>1658</c:v>
                </c:pt>
                <c:pt idx="21">
                  <c:v>1713</c:v>
                </c:pt>
                <c:pt idx="22">
                  <c:v>1997</c:v>
                </c:pt>
                <c:pt idx="23">
                  <c:v>2145</c:v>
                </c:pt>
                <c:pt idx="24">
                  <c:v>944</c:v>
                </c:pt>
                <c:pt idx="25">
                  <c:v>887</c:v>
                </c:pt>
                <c:pt idx="26">
                  <c:v>920</c:v>
                </c:pt>
                <c:pt idx="27">
                  <c:v>931</c:v>
                </c:pt>
                <c:pt idx="28">
                  <c:v>952</c:v>
                </c:pt>
                <c:pt idx="29">
                  <c:v>977</c:v>
                </c:pt>
                <c:pt idx="30">
                  <c:v>1084</c:v>
                </c:pt>
                <c:pt idx="31">
                  <c:v>1133</c:v>
                </c:pt>
                <c:pt idx="32">
                  <c:v>1120</c:v>
                </c:pt>
                <c:pt idx="33">
                  <c:v>1159</c:v>
                </c:pt>
                <c:pt idx="34">
                  <c:v>1207</c:v>
                </c:pt>
                <c:pt idx="35">
                  <c:v>1192</c:v>
                </c:pt>
                <c:pt idx="36">
                  <c:v>1147</c:v>
                </c:pt>
                <c:pt idx="37">
                  <c:v>1179</c:v>
                </c:pt>
                <c:pt idx="38">
                  <c:v>1117</c:v>
                </c:pt>
                <c:pt idx="39">
                  <c:v>1012</c:v>
                </c:pt>
                <c:pt idx="40">
                  <c:v>920</c:v>
                </c:pt>
                <c:pt idx="41">
                  <c:v>858</c:v>
                </c:pt>
                <c:pt idx="42">
                  <c:v>817</c:v>
                </c:pt>
                <c:pt idx="43">
                  <c:v>735</c:v>
                </c:pt>
                <c:pt idx="44">
                  <c:v>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17-440B-A281-379297590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6829560"/>
        <c:axId val="916838416"/>
      </c:barChart>
      <c:catAx>
        <c:axId val="91682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16838416"/>
        <c:crosses val="autoZero"/>
        <c:auto val="1"/>
        <c:lblAlgn val="ctr"/>
        <c:lblOffset val="100"/>
        <c:noMultiLvlLbl val="0"/>
      </c:catAx>
      <c:valAx>
        <c:axId val="91683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1682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ローン種類別期末残高額（単位：円）</a:t>
            </a:r>
          </a:p>
        </c:rich>
      </c:tx>
      <c:layout>
        <c:manualLayout>
          <c:xMode val="edge"/>
          <c:yMode val="edge"/>
          <c:x val="0.20805930550865681"/>
          <c:y val="1.99999947506575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期末残高推移グラフ!$A$164</c:f>
              <c:strCache>
                <c:ptCount val="1"/>
                <c:pt idx="0">
                  <c:v>スイッチローン・生活再建資金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期末残高推移グラフ!$B$163:$AT$163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期末残高推移グラフ!$B$164:$AT$164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2871638236</c:v>
                </c:pt>
                <c:pt idx="25">
                  <c:v>3260442046</c:v>
                </c:pt>
                <c:pt idx="26">
                  <c:v>4053059089</c:v>
                </c:pt>
                <c:pt idx="27">
                  <c:v>4718433680</c:v>
                </c:pt>
                <c:pt idx="28">
                  <c:v>5378380512</c:v>
                </c:pt>
                <c:pt idx="29">
                  <c:v>5912711062</c:v>
                </c:pt>
                <c:pt idx="30">
                  <c:v>6105431026</c:v>
                </c:pt>
                <c:pt idx="31">
                  <c:v>5947502702</c:v>
                </c:pt>
                <c:pt idx="32">
                  <c:v>5695407264</c:v>
                </c:pt>
                <c:pt idx="33">
                  <c:v>5421864095</c:v>
                </c:pt>
                <c:pt idx="34">
                  <c:v>4611469600</c:v>
                </c:pt>
                <c:pt idx="35">
                  <c:v>3972835964</c:v>
                </c:pt>
                <c:pt idx="36">
                  <c:v>3662491184</c:v>
                </c:pt>
                <c:pt idx="37">
                  <c:v>3294341432</c:v>
                </c:pt>
                <c:pt idx="38">
                  <c:v>2881776823</c:v>
                </c:pt>
                <c:pt idx="39">
                  <c:v>2407515682</c:v>
                </c:pt>
                <c:pt idx="40">
                  <c:v>2119226324</c:v>
                </c:pt>
                <c:pt idx="41">
                  <c:v>1877556327</c:v>
                </c:pt>
                <c:pt idx="42">
                  <c:v>1626886120</c:v>
                </c:pt>
                <c:pt idx="43">
                  <c:v>1388854139</c:v>
                </c:pt>
                <c:pt idx="44">
                  <c:v>1288283900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D-46C5-81AA-EAC19CDD42C1}"/>
            </c:ext>
          </c:extLst>
        </c:ser>
        <c:ser>
          <c:idx val="1"/>
          <c:order val="1"/>
          <c:tx>
            <c:strRef>
              <c:f>期末残高推移グラフ!$A$165</c:f>
              <c:strCache>
                <c:ptCount val="1"/>
                <c:pt idx="0">
                  <c:v>共済会関連貸付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期末残高推移グラフ!$B$163:$AT$163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期末残高推移グラフ!$B$165:$AT$165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840000</c:v>
                </c:pt>
                <c:pt idx="3">
                  <c:v>11941000</c:v>
                </c:pt>
                <c:pt idx="4">
                  <c:v>1297204</c:v>
                </c:pt>
                <c:pt idx="5">
                  <c:v>2916101</c:v>
                </c:pt>
                <c:pt idx="6">
                  <c:v>2627343</c:v>
                </c:pt>
                <c:pt idx="7">
                  <c:v>5176185</c:v>
                </c:pt>
                <c:pt idx="8">
                  <c:v>37974000</c:v>
                </c:pt>
                <c:pt idx="9">
                  <c:v>37647000</c:v>
                </c:pt>
                <c:pt idx="10">
                  <c:v>47595000</c:v>
                </c:pt>
                <c:pt idx="11">
                  <c:v>86561000</c:v>
                </c:pt>
                <c:pt idx="12">
                  <c:v>126191426</c:v>
                </c:pt>
                <c:pt idx="13">
                  <c:v>489696363</c:v>
                </c:pt>
                <c:pt idx="14">
                  <c:v>595825063</c:v>
                </c:pt>
                <c:pt idx="15">
                  <c:v>605362954</c:v>
                </c:pt>
                <c:pt idx="16">
                  <c:v>623893167</c:v>
                </c:pt>
                <c:pt idx="17">
                  <c:v>634044795</c:v>
                </c:pt>
                <c:pt idx="18">
                  <c:v>551431239</c:v>
                </c:pt>
                <c:pt idx="19">
                  <c:v>494946029</c:v>
                </c:pt>
                <c:pt idx="20">
                  <c:v>452724592</c:v>
                </c:pt>
                <c:pt idx="21">
                  <c:v>372127378</c:v>
                </c:pt>
                <c:pt idx="22">
                  <c:v>376727076</c:v>
                </c:pt>
                <c:pt idx="23">
                  <c:v>360890575</c:v>
                </c:pt>
                <c:pt idx="24">
                  <c:v>138409562</c:v>
                </c:pt>
                <c:pt idx="25">
                  <c:v>99585678</c:v>
                </c:pt>
                <c:pt idx="26">
                  <c:v>91504871</c:v>
                </c:pt>
                <c:pt idx="27">
                  <c:v>78158233</c:v>
                </c:pt>
                <c:pt idx="28">
                  <c:v>65164621</c:v>
                </c:pt>
                <c:pt idx="29">
                  <c:v>54722975</c:v>
                </c:pt>
                <c:pt idx="30">
                  <c:v>43555953</c:v>
                </c:pt>
                <c:pt idx="31">
                  <c:v>43598697</c:v>
                </c:pt>
                <c:pt idx="32">
                  <c:v>43774405</c:v>
                </c:pt>
                <c:pt idx="33">
                  <c:v>41125777</c:v>
                </c:pt>
                <c:pt idx="34">
                  <c:v>31331789</c:v>
                </c:pt>
                <c:pt idx="35">
                  <c:v>24211483</c:v>
                </c:pt>
                <c:pt idx="36">
                  <c:v>23109835</c:v>
                </c:pt>
                <c:pt idx="37">
                  <c:v>17962610</c:v>
                </c:pt>
                <c:pt idx="38">
                  <c:v>13701132</c:v>
                </c:pt>
                <c:pt idx="39">
                  <c:v>10730323</c:v>
                </c:pt>
                <c:pt idx="40">
                  <c:v>8017519</c:v>
                </c:pt>
                <c:pt idx="41">
                  <c:v>5170391</c:v>
                </c:pt>
                <c:pt idx="42">
                  <c:v>4284454</c:v>
                </c:pt>
                <c:pt idx="43">
                  <c:v>3643057</c:v>
                </c:pt>
                <c:pt idx="44">
                  <c:v>1245377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3D-46C5-81AA-EAC19CDD42C1}"/>
            </c:ext>
          </c:extLst>
        </c:ser>
        <c:ser>
          <c:idx val="2"/>
          <c:order val="2"/>
          <c:tx>
            <c:strRef>
              <c:f>期末残高推移グラフ!$A$166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期末残高推移グラフ!$B$163:$AT$163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期末残高推移グラフ!$B$166:$AT$166</c:f>
              <c:numCache>
                <c:formatCode>#,##0_ </c:formatCode>
                <c:ptCount val="45"/>
                <c:pt idx="0">
                  <c:v>56467806</c:v>
                </c:pt>
                <c:pt idx="1">
                  <c:v>69532000</c:v>
                </c:pt>
                <c:pt idx="2">
                  <c:v>82570000</c:v>
                </c:pt>
                <c:pt idx="3">
                  <c:v>192148000</c:v>
                </c:pt>
                <c:pt idx="4">
                  <c:v>71647067</c:v>
                </c:pt>
                <c:pt idx="5">
                  <c:v>74376829</c:v>
                </c:pt>
                <c:pt idx="6">
                  <c:v>134975696</c:v>
                </c:pt>
                <c:pt idx="7">
                  <c:v>204941245</c:v>
                </c:pt>
                <c:pt idx="8">
                  <c:v>343590000</c:v>
                </c:pt>
                <c:pt idx="9">
                  <c:v>424467000</c:v>
                </c:pt>
                <c:pt idx="10">
                  <c:v>557723000</c:v>
                </c:pt>
                <c:pt idx="11">
                  <c:v>524250000</c:v>
                </c:pt>
                <c:pt idx="12">
                  <c:v>421926358</c:v>
                </c:pt>
                <c:pt idx="13">
                  <c:v>487565438</c:v>
                </c:pt>
                <c:pt idx="14">
                  <c:v>552250230</c:v>
                </c:pt>
                <c:pt idx="15">
                  <c:v>731359111</c:v>
                </c:pt>
                <c:pt idx="16">
                  <c:v>950772569</c:v>
                </c:pt>
                <c:pt idx="17">
                  <c:v>1275422900</c:v>
                </c:pt>
                <c:pt idx="18">
                  <c:v>1682429668</c:v>
                </c:pt>
                <c:pt idx="19">
                  <c:v>2069682059</c:v>
                </c:pt>
                <c:pt idx="20">
                  <c:v>2479996190</c:v>
                </c:pt>
                <c:pt idx="21">
                  <c:v>2688203446</c:v>
                </c:pt>
                <c:pt idx="22">
                  <c:v>3204855140</c:v>
                </c:pt>
                <c:pt idx="23">
                  <c:v>3643031754</c:v>
                </c:pt>
                <c:pt idx="24">
                  <c:v>1092194340</c:v>
                </c:pt>
                <c:pt idx="25">
                  <c:v>1225947606</c:v>
                </c:pt>
                <c:pt idx="26">
                  <c:v>1270970244</c:v>
                </c:pt>
                <c:pt idx="27">
                  <c:v>1261904188</c:v>
                </c:pt>
                <c:pt idx="28">
                  <c:v>1481922946</c:v>
                </c:pt>
                <c:pt idx="29">
                  <c:v>1598771273</c:v>
                </c:pt>
                <c:pt idx="30">
                  <c:v>1821485863</c:v>
                </c:pt>
                <c:pt idx="31">
                  <c:v>1848135684</c:v>
                </c:pt>
                <c:pt idx="32">
                  <c:v>1726792977</c:v>
                </c:pt>
                <c:pt idx="33">
                  <c:v>1652518152</c:v>
                </c:pt>
                <c:pt idx="34">
                  <c:v>1525147012</c:v>
                </c:pt>
                <c:pt idx="35">
                  <c:v>1406460158</c:v>
                </c:pt>
                <c:pt idx="36">
                  <c:v>1334424608</c:v>
                </c:pt>
                <c:pt idx="37">
                  <c:v>1326046784</c:v>
                </c:pt>
                <c:pt idx="38">
                  <c:v>1271303290</c:v>
                </c:pt>
                <c:pt idx="39">
                  <c:v>1183207829</c:v>
                </c:pt>
                <c:pt idx="40">
                  <c:v>1125302124</c:v>
                </c:pt>
                <c:pt idx="41">
                  <c:v>1035235985</c:v>
                </c:pt>
                <c:pt idx="42">
                  <c:v>921089215</c:v>
                </c:pt>
                <c:pt idx="43">
                  <c:v>798069894</c:v>
                </c:pt>
                <c:pt idx="44">
                  <c:v>696450064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3D-46C5-81AA-EAC19CDD4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0157584"/>
        <c:axId val="910161848"/>
      </c:barChart>
      <c:catAx>
        <c:axId val="91015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10161848"/>
        <c:crosses val="autoZero"/>
        <c:auto val="1"/>
        <c:lblAlgn val="ctr"/>
        <c:lblOffset val="100"/>
        <c:noMultiLvlLbl val="0"/>
      </c:catAx>
      <c:valAx>
        <c:axId val="910161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1015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ローン種類別期末残高額割合（単位：％）</a:t>
            </a:r>
          </a:p>
        </c:rich>
      </c:tx>
      <c:layout>
        <c:manualLayout>
          <c:xMode val="edge"/>
          <c:yMode val="edge"/>
          <c:x val="0.20805930550865681"/>
          <c:y val="1.99999947506575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期末残高推移グラフ!$A$164</c:f>
              <c:strCache>
                <c:ptCount val="1"/>
                <c:pt idx="0">
                  <c:v>スイッチローン・生活再建資金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期末残高推移グラフ!$B$163:$AT$163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期末残高推移グラフ!$B$164:$AT$164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2871638236</c:v>
                </c:pt>
                <c:pt idx="25">
                  <c:v>3260442046</c:v>
                </c:pt>
                <c:pt idx="26">
                  <c:v>4053059089</c:v>
                </c:pt>
                <c:pt idx="27">
                  <c:v>4718433680</c:v>
                </c:pt>
                <c:pt idx="28">
                  <c:v>5378380512</c:v>
                </c:pt>
                <c:pt idx="29">
                  <c:v>5912711062</c:v>
                </c:pt>
                <c:pt idx="30">
                  <c:v>6105431026</c:v>
                </c:pt>
                <c:pt idx="31">
                  <c:v>5947502702</c:v>
                </c:pt>
                <c:pt idx="32">
                  <c:v>5695407264</c:v>
                </c:pt>
                <c:pt idx="33">
                  <c:v>5421864095</c:v>
                </c:pt>
                <c:pt idx="34">
                  <c:v>4611469600</c:v>
                </c:pt>
                <c:pt idx="35">
                  <c:v>3972835964</c:v>
                </c:pt>
                <c:pt idx="36">
                  <c:v>3662491184</c:v>
                </c:pt>
                <c:pt idx="37">
                  <c:v>3294341432</c:v>
                </c:pt>
                <c:pt idx="38">
                  <c:v>2881776823</c:v>
                </c:pt>
                <c:pt idx="39">
                  <c:v>2407515682</c:v>
                </c:pt>
                <c:pt idx="40">
                  <c:v>2119226324</c:v>
                </c:pt>
                <c:pt idx="41">
                  <c:v>1877556327</c:v>
                </c:pt>
                <c:pt idx="42">
                  <c:v>1626886120</c:v>
                </c:pt>
                <c:pt idx="43">
                  <c:v>1388854139</c:v>
                </c:pt>
                <c:pt idx="44">
                  <c:v>1288283900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C-4E3E-AAAD-2AE469C2C053}"/>
            </c:ext>
          </c:extLst>
        </c:ser>
        <c:ser>
          <c:idx val="1"/>
          <c:order val="1"/>
          <c:tx>
            <c:strRef>
              <c:f>期末残高推移グラフ!$A$165</c:f>
              <c:strCache>
                <c:ptCount val="1"/>
                <c:pt idx="0">
                  <c:v>共済会関連貸付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期末残高推移グラフ!$B$163:$AT$163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期末残高推移グラフ!$B$165:$AT$165</c:f>
              <c:numCache>
                <c:formatCode>#,##0_ 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840000</c:v>
                </c:pt>
                <c:pt idx="3">
                  <c:v>11941000</c:v>
                </c:pt>
                <c:pt idx="4">
                  <c:v>1297204</c:v>
                </c:pt>
                <c:pt idx="5">
                  <c:v>2916101</c:v>
                </c:pt>
                <c:pt idx="6">
                  <c:v>2627343</c:v>
                </c:pt>
                <c:pt idx="7">
                  <c:v>5176185</c:v>
                </c:pt>
                <c:pt idx="8">
                  <c:v>37974000</c:v>
                </c:pt>
                <c:pt idx="9">
                  <c:v>37647000</c:v>
                </c:pt>
                <c:pt idx="10">
                  <c:v>47595000</c:v>
                </c:pt>
                <c:pt idx="11">
                  <c:v>86561000</c:v>
                </c:pt>
                <c:pt idx="12">
                  <c:v>126191426</c:v>
                </c:pt>
                <c:pt idx="13">
                  <c:v>489696363</c:v>
                </c:pt>
                <c:pt idx="14">
                  <c:v>595825063</c:v>
                </c:pt>
                <c:pt idx="15">
                  <c:v>605362954</c:v>
                </c:pt>
                <c:pt idx="16">
                  <c:v>623893167</c:v>
                </c:pt>
                <c:pt idx="17">
                  <c:v>634044795</c:v>
                </c:pt>
                <c:pt idx="18">
                  <c:v>551431239</c:v>
                </c:pt>
                <c:pt idx="19">
                  <c:v>494946029</c:v>
                </c:pt>
                <c:pt idx="20">
                  <c:v>452724592</c:v>
                </c:pt>
                <c:pt idx="21">
                  <c:v>372127378</c:v>
                </c:pt>
                <c:pt idx="22">
                  <c:v>376727076</c:v>
                </c:pt>
                <c:pt idx="23">
                  <c:v>360890575</c:v>
                </c:pt>
                <c:pt idx="24">
                  <c:v>138409562</c:v>
                </c:pt>
                <c:pt idx="25">
                  <c:v>99585678</c:v>
                </c:pt>
                <c:pt idx="26">
                  <c:v>91504871</c:v>
                </c:pt>
                <c:pt idx="27">
                  <c:v>78158233</c:v>
                </c:pt>
                <c:pt idx="28">
                  <c:v>65164621</c:v>
                </c:pt>
                <c:pt idx="29">
                  <c:v>54722975</c:v>
                </c:pt>
                <c:pt idx="30">
                  <c:v>43555953</c:v>
                </c:pt>
                <c:pt idx="31">
                  <c:v>43598697</c:v>
                </c:pt>
                <c:pt idx="32">
                  <c:v>43774405</c:v>
                </c:pt>
                <c:pt idx="33">
                  <c:v>41125777</c:v>
                </c:pt>
                <c:pt idx="34">
                  <c:v>31331789</c:v>
                </c:pt>
                <c:pt idx="35">
                  <c:v>24211483</c:v>
                </c:pt>
                <c:pt idx="36">
                  <c:v>23109835</c:v>
                </c:pt>
                <c:pt idx="37">
                  <c:v>17962610</c:v>
                </c:pt>
                <c:pt idx="38">
                  <c:v>13701132</c:v>
                </c:pt>
                <c:pt idx="39">
                  <c:v>10730323</c:v>
                </c:pt>
                <c:pt idx="40">
                  <c:v>8017519</c:v>
                </c:pt>
                <c:pt idx="41">
                  <c:v>5170391</c:v>
                </c:pt>
                <c:pt idx="42">
                  <c:v>4284454</c:v>
                </c:pt>
                <c:pt idx="43">
                  <c:v>3643057</c:v>
                </c:pt>
                <c:pt idx="44">
                  <c:v>1245377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0C-4E3E-AAAD-2AE469C2C053}"/>
            </c:ext>
          </c:extLst>
        </c:ser>
        <c:ser>
          <c:idx val="2"/>
          <c:order val="2"/>
          <c:tx>
            <c:strRef>
              <c:f>期末残高推移グラフ!$A$166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期末残高推移グラフ!$B$163:$AT$163</c:f>
              <c:strCache>
                <c:ptCount val="45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  <c:pt idx="17">
                  <c:v>平成3年度(1991)</c:v>
                </c:pt>
                <c:pt idx="18">
                  <c:v>平成4年度(1992)</c:v>
                </c:pt>
                <c:pt idx="19">
                  <c:v>平成5年度(1993)</c:v>
                </c:pt>
                <c:pt idx="20">
                  <c:v>平成6年度(1994)</c:v>
                </c:pt>
                <c:pt idx="21">
                  <c:v>平成7年度(1995)</c:v>
                </c:pt>
                <c:pt idx="22">
                  <c:v>平成8年度(1996)</c:v>
                </c:pt>
                <c:pt idx="23">
                  <c:v>平成9年度(1997)</c:v>
                </c:pt>
                <c:pt idx="24">
                  <c:v>平成10年度(1998)</c:v>
                </c:pt>
                <c:pt idx="25">
                  <c:v>平成11年度(1999)</c:v>
                </c:pt>
                <c:pt idx="26">
                  <c:v>平成12年度(2000)</c:v>
                </c:pt>
                <c:pt idx="27">
                  <c:v>平成13年度(2001)</c:v>
                </c:pt>
                <c:pt idx="28">
                  <c:v>平成14年度(2002)</c:v>
                </c:pt>
                <c:pt idx="29">
                  <c:v>平成15年(2003)</c:v>
                </c:pt>
                <c:pt idx="30">
                  <c:v>平成16年(2004)</c:v>
                </c:pt>
                <c:pt idx="31">
                  <c:v>平成17年度(2005)</c:v>
                </c:pt>
                <c:pt idx="32">
                  <c:v>平成18年度(2006)</c:v>
                </c:pt>
                <c:pt idx="33">
                  <c:v>平成19年度(2007)</c:v>
                </c:pt>
                <c:pt idx="34">
                  <c:v>平成20年度(2008)</c:v>
                </c:pt>
                <c:pt idx="35">
                  <c:v>平成21年度(2009)</c:v>
                </c:pt>
                <c:pt idx="36">
                  <c:v>平成22年度(2010)</c:v>
                </c:pt>
                <c:pt idx="37">
                  <c:v>平成23年度(2011)</c:v>
                </c:pt>
                <c:pt idx="38">
                  <c:v>平成24年度(2012)</c:v>
                </c:pt>
                <c:pt idx="39">
                  <c:v>平成25年度(2013)</c:v>
                </c:pt>
                <c:pt idx="40">
                  <c:v>平成26年度(2014)</c:v>
                </c:pt>
                <c:pt idx="41">
                  <c:v>平成27年度(2015)</c:v>
                </c:pt>
                <c:pt idx="42">
                  <c:v>平成28年度(2016)</c:v>
                </c:pt>
                <c:pt idx="43">
                  <c:v>平成29年度(2017)</c:v>
                </c:pt>
                <c:pt idx="44">
                  <c:v>平成30年度(2018)</c:v>
                </c:pt>
              </c:strCache>
            </c:strRef>
          </c:cat>
          <c:val>
            <c:numRef>
              <c:f>期末残高推移グラフ!$B$166:$AT$166</c:f>
              <c:numCache>
                <c:formatCode>#,##0_ </c:formatCode>
                <c:ptCount val="45"/>
                <c:pt idx="0">
                  <c:v>56467806</c:v>
                </c:pt>
                <c:pt idx="1">
                  <c:v>69532000</c:v>
                </c:pt>
                <c:pt idx="2">
                  <c:v>82570000</c:v>
                </c:pt>
                <c:pt idx="3">
                  <c:v>192148000</c:v>
                </c:pt>
                <c:pt idx="4">
                  <c:v>71647067</c:v>
                </c:pt>
                <c:pt idx="5">
                  <c:v>74376829</c:v>
                </c:pt>
                <c:pt idx="6">
                  <c:v>134975696</c:v>
                </c:pt>
                <c:pt idx="7">
                  <c:v>204941245</c:v>
                </c:pt>
                <c:pt idx="8">
                  <c:v>343590000</c:v>
                </c:pt>
                <c:pt idx="9">
                  <c:v>424467000</c:v>
                </c:pt>
                <c:pt idx="10">
                  <c:v>557723000</c:v>
                </c:pt>
                <c:pt idx="11">
                  <c:v>524250000</c:v>
                </c:pt>
                <c:pt idx="12">
                  <c:v>421926358</c:v>
                </c:pt>
                <c:pt idx="13">
                  <c:v>487565438</c:v>
                </c:pt>
                <c:pt idx="14">
                  <c:v>552250230</c:v>
                </c:pt>
                <c:pt idx="15">
                  <c:v>731359111</c:v>
                </c:pt>
                <c:pt idx="16">
                  <c:v>950772569</c:v>
                </c:pt>
                <c:pt idx="17">
                  <c:v>1275422900</c:v>
                </c:pt>
                <c:pt idx="18">
                  <c:v>1682429668</c:v>
                </c:pt>
                <c:pt idx="19">
                  <c:v>2069682059</c:v>
                </c:pt>
                <c:pt idx="20">
                  <c:v>2479996190</c:v>
                </c:pt>
                <c:pt idx="21">
                  <c:v>2688203446</c:v>
                </c:pt>
                <c:pt idx="22">
                  <c:v>3204855140</c:v>
                </c:pt>
                <c:pt idx="23">
                  <c:v>3643031754</c:v>
                </c:pt>
                <c:pt idx="24">
                  <c:v>1092194340</c:v>
                </c:pt>
                <c:pt idx="25">
                  <c:v>1225947606</c:v>
                </c:pt>
                <c:pt idx="26">
                  <c:v>1270970244</c:v>
                </c:pt>
                <c:pt idx="27">
                  <c:v>1261904188</c:v>
                </c:pt>
                <c:pt idx="28">
                  <c:v>1481922946</c:v>
                </c:pt>
                <c:pt idx="29">
                  <c:v>1598771273</c:v>
                </c:pt>
                <c:pt idx="30">
                  <c:v>1821485863</c:v>
                </c:pt>
                <c:pt idx="31">
                  <c:v>1848135684</c:v>
                </c:pt>
                <c:pt idx="32">
                  <c:v>1726792977</c:v>
                </c:pt>
                <c:pt idx="33">
                  <c:v>1652518152</c:v>
                </c:pt>
                <c:pt idx="34">
                  <c:v>1525147012</c:v>
                </c:pt>
                <c:pt idx="35">
                  <c:v>1406460158</c:v>
                </c:pt>
                <c:pt idx="36">
                  <c:v>1334424608</c:v>
                </c:pt>
                <c:pt idx="37">
                  <c:v>1326046784</c:v>
                </c:pt>
                <c:pt idx="38">
                  <c:v>1271303290</c:v>
                </c:pt>
                <c:pt idx="39">
                  <c:v>1183207829</c:v>
                </c:pt>
                <c:pt idx="40">
                  <c:v>1125302124</c:v>
                </c:pt>
                <c:pt idx="41">
                  <c:v>1035235985</c:v>
                </c:pt>
                <c:pt idx="42">
                  <c:v>921089215</c:v>
                </c:pt>
                <c:pt idx="43">
                  <c:v>798069894</c:v>
                </c:pt>
                <c:pt idx="44">
                  <c:v>696450064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0C-4E3E-AAAD-2AE469C2C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0157584"/>
        <c:axId val="910161848"/>
      </c:barChart>
      <c:catAx>
        <c:axId val="91015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10161848"/>
        <c:crosses val="autoZero"/>
        <c:auto val="1"/>
        <c:lblAlgn val="ctr"/>
        <c:lblOffset val="100"/>
        <c:noMultiLvlLbl val="0"/>
      </c:catAx>
      <c:valAx>
        <c:axId val="910161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1015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ローン種類別</a:t>
            </a:r>
            <a:r>
              <a:rPr lang="en-US" altLang="ja-JP"/>
              <a:t>1</a:t>
            </a:r>
            <a:r>
              <a:rPr lang="ja-JP" altLang="en-US"/>
              <a:t>件平均期中貸付額</a:t>
            </a:r>
            <a:endParaRPr lang="en-US" altLang="ja-JP"/>
          </a:p>
          <a:p>
            <a:pPr>
              <a:defRPr/>
            </a:pPr>
            <a:r>
              <a:rPr lang="ja-JP" altLang="en-US"/>
              <a:t>（不動産、会員厚生を除く）（単位：円）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'1件平均貸付額グラフ'!$A$66</c:f>
              <c:strCache>
                <c:ptCount val="1"/>
                <c:pt idx="0">
                  <c:v>無担保ローン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'1件平均貸付額グラフ'!$B$65:$AR$65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'1件平均貸付額グラフ'!$B$66:$AR$66</c:f>
              <c:numCache>
                <c:formatCode>#,##0_ </c:formatCode>
                <c:ptCount val="43"/>
                <c:pt idx="0">
                  <c:v>77750</c:v>
                </c:pt>
                <c:pt idx="1">
                  <c:v>400000</c:v>
                </c:pt>
                <c:pt idx="2">
                  <c:v>298333.33333333331</c:v>
                </c:pt>
                <c:pt idx="3">
                  <c:v>313333.33333333331</c:v>
                </c:pt>
                <c:pt idx="4">
                  <c:v>354545.45454545453</c:v>
                </c:pt>
                <c:pt idx="5">
                  <c:v>685714.28571428568</c:v>
                </c:pt>
                <c:pt idx="6">
                  <c:v>335000</c:v>
                </c:pt>
                <c:pt idx="7">
                  <c:v>529444.4444444445</c:v>
                </c:pt>
                <c:pt idx="8">
                  <c:v>531648.1481481482</c:v>
                </c:pt>
                <c:pt idx="9">
                  <c:v>745765.43209876539</c:v>
                </c:pt>
                <c:pt idx="10">
                  <c:v>874745.76271186443</c:v>
                </c:pt>
                <c:pt idx="11">
                  <c:v>876632.6530612245</c:v>
                </c:pt>
                <c:pt idx="12">
                  <c:v>1055333.388888889</c:v>
                </c:pt>
                <c:pt idx="13">
                  <c:v>1721937.0333333334</c:v>
                </c:pt>
                <c:pt idx="14">
                  <c:v>1575103.7985611511</c:v>
                </c:pt>
                <c:pt idx="15">
                  <c:v>1955428.768041237</c:v>
                </c:pt>
                <c:pt idx="16">
                  <c:v>2099661.5606060605</c:v>
                </c:pt>
                <c:pt idx="17">
                  <c:v>1999151.1278688523</c:v>
                </c:pt>
                <c:pt idx="18">
                  <c:v>2497803.0964285713</c:v>
                </c:pt>
                <c:pt idx="19">
                  <c:v>2696014.0133333332</c:v>
                </c:pt>
                <c:pt idx="20">
                  <c:v>2222467.0396226416</c:v>
                </c:pt>
                <c:pt idx="21">
                  <c:v>2390211.3166023167</c:v>
                </c:pt>
                <c:pt idx="22">
                  <c:v>2445177.3412527</c:v>
                </c:pt>
                <c:pt idx="23">
                  <c:v>2480035.1493848856</c:v>
                </c:pt>
                <c:pt idx="24">
                  <c:v>2583287.3862158647</c:v>
                </c:pt>
                <c:pt idx="25">
                  <c:v>2483768.6996547757</c:v>
                </c:pt>
                <c:pt idx="26">
                  <c:v>2488655.2540322579</c:v>
                </c:pt>
                <c:pt idx="27">
                  <c:v>2401159.3163565132</c:v>
                </c:pt>
                <c:pt idx="28">
                  <c:v>2351807.6086956523</c:v>
                </c:pt>
                <c:pt idx="29">
                  <c:v>2330503.2258064514</c:v>
                </c:pt>
                <c:pt idx="30">
                  <c:v>2181134.2894393741</c:v>
                </c:pt>
                <c:pt idx="31">
                  <c:v>2153037.2340425532</c:v>
                </c:pt>
                <c:pt idx="32">
                  <c:v>1923442.3545081967</c:v>
                </c:pt>
                <c:pt idx="33">
                  <c:v>1612119.0550774527</c:v>
                </c:pt>
                <c:pt idx="34">
                  <c:v>1286589.4465894466</c:v>
                </c:pt>
                <c:pt idx="35">
                  <c:v>1036747.9674796748</c:v>
                </c:pt>
                <c:pt idx="36">
                  <c:v>952311.24807395996</c:v>
                </c:pt>
                <c:pt idx="37">
                  <c:v>858273.68421052629</c:v>
                </c:pt>
                <c:pt idx="38">
                  <c:v>933450.98039215687</c:v>
                </c:pt>
                <c:pt idx="39">
                  <c:v>965372.46049661399</c:v>
                </c:pt>
                <c:pt idx="40">
                  <c:v>1017383.7209302326</c:v>
                </c:pt>
                <c:pt idx="41">
                  <c:v>900354.83870967745</c:v>
                </c:pt>
                <c:pt idx="42">
                  <c:v>1136295.1807228916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AB-41CF-8A3C-21379D6FDCFC}"/>
            </c:ext>
          </c:extLst>
        </c:ser>
        <c:ser>
          <c:idx val="1"/>
          <c:order val="1"/>
          <c:tx>
            <c:strRef>
              <c:f>'1件平均貸付額グラフ'!$A$67</c:f>
              <c:strCache>
                <c:ptCount val="1"/>
                <c:pt idx="0">
                  <c:v>オートローン等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'1件平均貸付額グラフ'!$B$65:$AR$65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'1件平均貸付額グラフ'!$B$67:$AR$67</c:f>
              <c:numCache>
                <c:formatCode>#,##0_ </c:formatCode>
                <c:ptCount val="43"/>
                <c:pt idx="4">
                  <c:v>16592</c:v>
                </c:pt>
                <c:pt idx="5">
                  <c:v>16096.697438633939</c:v>
                </c:pt>
                <c:pt idx="7">
                  <c:v>15419.315752461322</c:v>
                </c:pt>
                <c:pt idx="8">
                  <c:v>17718.160767449554</c:v>
                </c:pt>
                <c:pt idx="9">
                  <c:v>387525.95155709342</c:v>
                </c:pt>
                <c:pt idx="10">
                  <c:v>311843.50323974079</c:v>
                </c:pt>
                <c:pt idx="11">
                  <c:v>67055.427996283674</c:v>
                </c:pt>
                <c:pt idx="12">
                  <c:v>127580.04379232506</c:v>
                </c:pt>
                <c:pt idx="13">
                  <c:v>107835.34005118362</c:v>
                </c:pt>
                <c:pt idx="14">
                  <c:v>169719.29119123687</c:v>
                </c:pt>
                <c:pt idx="15">
                  <c:v>127154.27001356852</c:v>
                </c:pt>
                <c:pt idx="16">
                  <c:v>101133.85796344647</c:v>
                </c:pt>
                <c:pt idx="17">
                  <c:v>65012.555210918115</c:v>
                </c:pt>
                <c:pt idx="18">
                  <c:v>69271.998549673677</c:v>
                </c:pt>
                <c:pt idx="19">
                  <c:v>69226.433164128597</c:v>
                </c:pt>
                <c:pt idx="20">
                  <c:v>71828.179060665367</c:v>
                </c:pt>
                <c:pt idx="21">
                  <c:v>58935.66480446927</c:v>
                </c:pt>
                <c:pt idx="22">
                  <c:v>70992.593360995845</c:v>
                </c:pt>
                <c:pt idx="23">
                  <c:v>91262.761290322582</c:v>
                </c:pt>
                <c:pt idx="24">
                  <c:v>89547.060386473429</c:v>
                </c:pt>
                <c:pt idx="25">
                  <c:v>527572.661971831</c:v>
                </c:pt>
                <c:pt idx="26">
                  <c:v>618575.43478260865</c:v>
                </c:pt>
                <c:pt idx="27">
                  <c:v>599201.40540540544</c:v>
                </c:pt>
                <c:pt idx="28">
                  <c:v>630389.66071428568</c:v>
                </c:pt>
                <c:pt idx="29">
                  <c:v>666209.67741935479</c:v>
                </c:pt>
                <c:pt idx="30">
                  <c:v>629014.08450704231</c:v>
                </c:pt>
                <c:pt idx="31">
                  <c:v>674966.98113207542</c:v>
                </c:pt>
                <c:pt idx="32">
                  <c:v>634318.7890625</c:v>
                </c:pt>
                <c:pt idx="33">
                  <c:v>635671.64179104473</c:v>
                </c:pt>
                <c:pt idx="34">
                  <c:v>833968.25396825396</c:v>
                </c:pt>
                <c:pt idx="35">
                  <c:v>1203960.396039604</c:v>
                </c:pt>
                <c:pt idx="36">
                  <c:v>1335675.6756756757</c:v>
                </c:pt>
                <c:pt idx="37">
                  <c:v>1383125</c:v>
                </c:pt>
                <c:pt idx="38">
                  <c:v>1538181.8181818181</c:v>
                </c:pt>
                <c:pt idx="39">
                  <c:v>1600000</c:v>
                </c:pt>
                <c:pt idx="40">
                  <c:v>1393928.5714285714</c:v>
                </c:pt>
                <c:pt idx="41">
                  <c:v>1545625</c:v>
                </c:pt>
                <c:pt idx="42">
                  <c:v>1567307.6923076923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AB-41CF-8A3C-21379D6FDCFC}"/>
            </c:ext>
          </c:extLst>
        </c:ser>
        <c:ser>
          <c:idx val="2"/>
          <c:order val="2"/>
          <c:tx>
            <c:strRef>
              <c:f>'1件平均貸付額グラフ'!$A$69</c:f>
              <c:strCache>
                <c:ptCount val="1"/>
                <c:pt idx="0">
                  <c:v>火災共済貸付等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'1件平均貸付額グラフ'!$B$65:$AR$65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'1件平均貸付額グラフ'!$B$69:$AR$69</c:f>
              <c:numCache>
                <c:formatCode>#,##0_ </c:formatCode>
                <c:ptCount val="43"/>
                <c:pt idx="0">
                  <c:v>190000</c:v>
                </c:pt>
                <c:pt idx="1">
                  <c:v>30000</c:v>
                </c:pt>
                <c:pt idx="2">
                  <c:v>26379.430656934306</c:v>
                </c:pt>
                <c:pt idx="3">
                  <c:v>42685.777576853528</c:v>
                </c:pt>
                <c:pt idx="4">
                  <c:v>53997.194950911638</c:v>
                </c:pt>
                <c:pt idx="5">
                  <c:v>50509.643171806165</c:v>
                </c:pt>
                <c:pt idx="6">
                  <c:v>94480.443786982243</c:v>
                </c:pt>
                <c:pt idx="7">
                  <c:v>46490.196078431371</c:v>
                </c:pt>
                <c:pt idx="8">
                  <c:v>105091.9540229885</c:v>
                </c:pt>
                <c:pt idx="9">
                  <c:v>364705.8823529412</c:v>
                </c:pt>
                <c:pt idx="10">
                  <c:v>521976.33136094676</c:v>
                </c:pt>
                <c:pt idx="11">
                  <c:v>657760.54444444447</c:v>
                </c:pt>
                <c:pt idx="12">
                  <c:v>845481.14336917561</c:v>
                </c:pt>
                <c:pt idx="13">
                  <c:v>823044.98924731184</c:v>
                </c:pt>
                <c:pt idx="14">
                  <c:v>1025995.046875</c:v>
                </c:pt>
                <c:pt idx="15">
                  <c:v>865992</c:v>
                </c:pt>
                <c:pt idx="16">
                  <c:v>811378.57142857148</c:v>
                </c:pt>
                <c:pt idx="17">
                  <c:v>768547.31645569624</c:v>
                </c:pt>
                <c:pt idx="18">
                  <c:v>1031615.76</c:v>
                </c:pt>
                <c:pt idx="19">
                  <c:v>757376.97402597405</c:v>
                </c:pt>
                <c:pt idx="20">
                  <c:v>688086.18012422358</c:v>
                </c:pt>
                <c:pt idx="21">
                  <c:v>713315.03947368416</c:v>
                </c:pt>
                <c:pt idx="22">
                  <c:v>721162.60162601632</c:v>
                </c:pt>
                <c:pt idx="23">
                  <c:v>790651.07913669059</c:v>
                </c:pt>
                <c:pt idx="24">
                  <c:v>752418.94767441857</c:v>
                </c:pt>
                <c:pt idx="25">
                  <c:v>779275.641025641</c:v>
                </c:pt>
                <c:pt idx="26">
                  <c:v>817105.83941605838</c:v>
                </c:pt>
                <c:pt idx="27">
                  <c:v>788461.5384615385</c:v>
                </c:pt>
                <c:pt idx="28">
                  <c:v>566635.32110091741</c:v>
                </c:pt>
                <c:pt idx="29">
                  <c:v>692311.82795698929</c:v>
                </c:pt>
                <c:pt idx="30">
                  <c:v>687796.6101694915</c:v>
                </c:pt>
                <c:pt idx="31">
                  <c:v>838683.93782383425</c:v>
                </c:pt>
                <c:pt idx="32">
                  <c:v>490701.75438596489</c:v>
                </c:pt>
                <c:pt idx="33">
                  <c:v>657880.43478260865</c:v>
                </c:pt>
                <c:pt idx="34">
                  <c:v>912103.00429184549</c:v>
                </c:pt>
                <c:pt idx="35">
                  <c:v>1008549.2227979274</c:v>
                </c:pt>
                <c:pt idx="36">
                  <c:v>1167756.4102564103</c:v>
                </c:pt>
                <c:pt idx="37">
                  <c:v>1305042.735042735</c:v>
                </c:pt>
                <c:pt idx="38">
                  <c:v>1022366.4122137404</c:v>
                </c:pt>
                <c:pt idx="39">
                  <c:v>954038.4615384615</c:v>
                </c:pt>
                <c:pt idx="40">
                  <c:v>736194.69026548672</c:v>
                </c:pt>
                <c:pt idx="41">
                  <c:v>614862.38532110094</c:v>
                </c:pt>
                <c:pt idx="42">
                  <c:v>563142.85714285716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AB-41CF-8A3C-21379D6FDCFC}"/>
            </c:ext>
          </c:extLst>
        </c:ser>
        <c:ser>
          <c:idx val="3"/>
          <c:order val="3"/>
          <c:tx>
            <c:strRef>
              <c:f>'1件平均貸付額グラフ'!$A$70</c:f>
              <c:strCache>
                <c:ptCount val="1"/>
                <c:pt idx="0">
                  <c:v>共済会ローン等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'1件平均貸付額グラフ'!$B$65:$AR$65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'1件平均貸付額グラフ'!$B$70:$AR$70</c:f>
              <c:numCache>
                <c:formatCode>#,##0_ </c:formatCode>
                <c:ptCount val="43"/>
                <c:pt idx="9">
                  <c:v>24484.193011647254</c:v>
                </c:pt>
                <c:pt idx="10">
                  <c:v>22783.48924547627</c:v>
                </c:pt>
                <c:pt idx="11">
                  <c:v>126685.58754750073</c:v>
                </c:pt>
                <c:pt idx="12">
                  <c:v>68433.705691642652</c:v>
                </c:pt>
                <c:pt idx="13">
                  <c:v>72041.715184893779</c:v>
                </c:pt>
                <c:pt idx="14">
                  <c:v>77089.262180016522</c:v>
                </c:pt>
                <c:pt idx="15">
                  <c:v>71010.652680652682</c:v>
                </c:pt>
                <c:pt idx="16">
                  <c:v>63004.076502732241</c:v>
                </c:pt>
                <c:pt idx="17">
                  <c:v>65198.604288499024</c:v>
                </c:pt>
                <c:pt idx="18">
                  <c:v>57865.057339449544</c:v>
                </c:pt>
                <c:pt idx="19">
                  <c:v>58264.385530227948</c:v>
                </c:pt>
                <c:pt idx="20">
                  <c:v>1896433.6842105263</c:v>
                </c:pt>
                <c:pt idx="21">
                  <c:v>1607528.5714285714</c:v>
                </c:pt>
                <c:pt idx="22">
                  <c:v>1619707.7</c:v>
                </c:pt>
                <c:pt idx="23">
                  <c:v>1366762.6666666667</c:v>
                </c:pt>
                <c:pt idx="24">
                  <c:v>1813076.923076923</c:v>
                </c:pt>
                <c:pt idx="25">
                  <c:v>1336363.6363636365</c:v>
                </c:pt>
                <c:pt idx="26">
                  <c:v>1982046.3333333333</c:v>
                </c:pt>
                <c:pt idx="27">
                  <c:v>1330000</c:v>
                </c:pt>
                <c:pt idx="28">
                  <c:v>1335000</c:v>
                </c:pt>
                <c:pt idx="29">
                  <c:v>1864384.625</c:v>
                </c:pt>
                <c:pt idx="30">
                  <c:v>1923333.3333333333</c:v>
                </c:pt>
                <c:pt idx="31">
                  <c:v>2630000</c:v>
                </c:pt>
                <c:pt idx="32">
                  <c:v>580000</c:v>
                </c:pt>
                <c:pt idx="33">
                  <c:v>1696666.6666666667</c:v>
                </c:pt>
                <c:pt idx="34">
                  <c:v>1432500</c:v>
                </c:pt>
                <c:pt idx="35">
                  <c:v>300000</c:v>
                </c:pt>
                <c:pt idx="37">
                  <c:v>1515000</c:v>
                </c:pt>
                <c:pt idx="38">
                  <c:v>1090000</c:v>
                </c:pt>
                <c:pt idx="40">
                  <c:v>1000000</c:v>
                </c:pt>
                <c:pt idx="41">
                  <c:v>1000000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AB-41CF-8A3C-21379D6FDCFC}"/>
            </c:ext>
          </c:extLst>
        </c:ser>
        <c:ser>
          <c:idx val="4"/>
          <c:order val="4"/>
          <c:tx>
            <c:strRef>
              <c:f>'1件平均貸付額グラフ'!$A$71</c:f>
              <c:strCache>
                <c:ptCount val="1"/>
                <c:pt idx="0">
                  <c:v>生活支援ローン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'1件平均貸付額グラフ'!$B$65:$AR$65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'1件平均貸付額グラフ'!$B$71:$AR$71</c:f>
              <c:numCache>
                <c:formatCode>#,##0_ </c:formatCode>
                <c:ptCount val="43"/>
                <c:pt idx="32">
                  <c:v>1301250</c:v>
                </c:pt>
                <c:pt idx="33">
                  <c:v>1583750</c:v>
                </c:pt>
                <c:pt idx="34">
                  <c:v>1634345.142857143</c:v>
                </c:pt>
                <c:pt idx="35">
                  <c:v>600000</c:v>
                </c:pt>
                <c:pt idx="36">
                  <c:v>992992</c:v>
                </c:pt>
                <c:pt idx="37">
                  <c:v>2185000</c:v>
                </c:pt>
                <c:pt idx="39">
                  <c:v>200000</c:v>
                </c:pt>
                <c:pt idx="40">
                  <c:v>570000</c:v>
                </c:pt>
                <c:pt idx="42">
                  <c:v>1803333.3333333333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AB-41CF-8A3C-21379D6FDCFC}"/>
            </c:ext>
          </c:extLst>
        </c:ser>
        <c:ser>
          <c:idx val="5"/>
          <c:order val="5"/>
          <c:tx>
            <c:strRef>
              <c:f>'1件平均貸付額グラフ'!$A$72</c:f>
              <c:strCache>
                <c:ptCount val="1"/>
                <c:pt idx="0">
                  <c:v>有価証券貸付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'1件平均貸付額グラフ'!$B$65:$AR$65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'1件平均貸付額グラフ'!$B$72:$AR$72</c:f>
              <c:numCache>
                <c:formatCode>#,##0_ </c:formatCode>
                <c:ptCount val="43"/>
                <c:pt idx="0">
                  <c:v>1122675</c:v>
                </c:pt>
                <c:pt idx="5">
                  <c:v>1500000</c:v>
                </c:pt>
                <c:pt idx="6">
                  <c:v>3375000</c:v>
                </c:pt>
                <c:pt idx="7">
                  <c:v>3333333.3333333335</c:v>
                </c:pt>
                <c:pt idx="8">
                  <c:v>1214285.7142857143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AB-41CF-8A3C-21379D6FDCFC}"/>
            </c:ext>
          </c:extLst>
        </c:ser>
        <c:ser>
          <c:idx val="6"/>
          <c:order val="6"/>
          <c:tx>
            <c:strRef>
              <c:f>'1件平均貸付額グラフ'!$A$73</c:f>
              <c:strCache>
                <c:ptCount val="1"/>
                <c:pt idx="0">
                  <c:v>厚生貸付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'1件平均貸付額グラフ'!$B$65:$AR$65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'1件平均貸付額グラフ'!$B$73:$AR$73</c:f>
              <c:numCache>
                <c:formatCode>#,##0_ </c:formatCode>
                <c:ptCount val="43"/>
                <c:pt idx="1">
                  <c:v>1903875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AB-41CF-8A3C-21379D6FDCFC}"/>
            </c:ext>
          </c:extLst>
        </c:ser>
        <c:ser>
          <c:idx val="7"/>
          <c:order val="7"/>
          <c:tx>
            <c:strRef>
              <c:f>'1件平均貸付額グラフ'!$A$74</c:f>
              <c:strCache>
                <c:ptCount val="1"/>
                <c:pt idx="0">
                  <c:v>動産担保貸付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'1件平均貸付額グラフ'!$B$65:$AR$65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'1件平均貸付額グラフ'!$B$74:$AR$74</c:f>
              <c:numCache>
                <c:formatCode>#,##0_ </c:formatCode>
                <c:ptCount val="43"/>
                <c:pt idx="8">
                  <c:v>1800000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AB-41CF-8A3C-21379D6FDCFC}"/>
            </c:ext>
          </c:extLst>
        </c:ser>
        <c:ser>
          <c:idx val="8"/>
          <c:order val="8"/>
          <c:tx>
            <c:strRef>
              <c:f>'1件平均貸付額グラフ'!$A$76</c:f>
              <c:strCache>
                <c:ptCount val="1"/>
                <c:pt idx="0">
                  <c:v>累計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'1件平均貸付額グラフ'!$B$65:$AR$65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'1件平均貸付額グラフ'!$B$76:$AR$76</c:f>
              <c:numCache>
                <c:formatCode>#,##0_ </c:formatCode>
                <c:ptCount val="43"/>
                <c:pt idx="0">
                  <c:v>848035.35135135136</c:v>
                </c:pt>
                <c:pt idx="1">
                  <c:v>80255.178907721274</c:v>
                </c:pt>
                <c:pt idx="2">
                  <c:v>40557.811158798286</c:v>
                </c:pt>
                <c:pt idx="3">
                  <c:v>98075.322299651569</c:v>
                </c:pt>
                <c:pt idx="4">
                  <c:v>36104.4843726408</c:v>
                </c:pt>
                <c:pt idx="5">
                  <c:v>33295.084824624195</c:v>
                </c:pt>
                <c:pt idx="6">
                  <c:v>499276.16753926704</c:v>
                </c:pt>
                <c:pt idx="7">
                  <c:v>47876.494069806846</c:v>
                </c:pt>
                <c:pt idx="8">
                  <c:v>69685.375740567513</c:v>
                </c:pt>
                <c:pt idx="9">
                  <c:v>107441.00964265456</c:v>
                </c:pt>
                <c:pt idx="10">
                  <c:v>107295.47823706543</c:v>
                </c:pt>
                <c:pt idx="11">
                  <c:v>135205.07826212057</c:v>
                </c:pt>
                <c:pt idx="12">
                  <c:v>157364.76839947829</c:v>
                </c:pt>
                <c:pt idx="13">
                  <c:v>152586.69219168901</c:v>
                </c:pt>
                <c:pt idx="14">
                  <c:v>230366.48370325935</c:v>
                </c:pt>
                <c:pt idx="15">
                  <c:v>225420.85697830678</c:v>
                </c:pt>
                <c:pt idx="16">
                  <c:v>294845.02288237656</c:v>
                </c:pt>
                <c:pt idx="17">
                  <c:v>336994.17597765365</c:v>
                </c:pt>
                <c:pt idx="18">
                  <c:v>378233.09964093356</c:v>
                </c:pt>
                <c:pt idx="19">
                  <c:v>476079.7222982216</c:v>
                </c:pt>
                <c:pt idx="20">
                  <c:v>1106397.7362397821</c:v>
                </c:pt>
                <c:pt idx="21">
                  <c:v>1149604.8956310679</c:v>
                </c:pt>
                <c:pt idx="22">
                  <c:v>1179373.215498155</c:v>
                </c:pt>
                <c:pt idx="23">
                  <c:v>1745702.2555910542</c:v>
                </c:pt>
                <c:pt idx="24">
                  <c:v>1829601.5148514851</c:v>
                </c:pt>
                <c:pt idx="25">
                  <c:v>2385179.8104631216</c:v>
                </c:pt>
                <c:pt idx="26">
                  <c:v>2538754.9840764333</c:v>
                </c:pt>
                <c:pt idx="27">
                  <c:v>2468087.5310015897</c:v>
                </c:pt>
                <c:pt idx="28">
                  <c:v>2271795.2985305493</c:v>
                </c:pt>
                <c:pt idx="29">
                  <c:v>2269376.1067264574</c:v>
                </c:pt>
                <c:pt idx="30">
                  <c:v>1967495.2741020794</c:v>
                </c:pt>
                <c:pt idx="31">
                  <c:v>1736513.5823429541</c:v>
                </c:pt>
                <c:pt idx="32">
                  <c:v>1392783.4045714287</c:v>
                </c:pt>
                <c:pt idx="33">
                  <c:v>1277737.2294416244</c:v>
                </c:pt>
                <c:pt idx="34">
                  <c:v>1174069.9269565218</c:v>
                </c:pt>
                <c:pt idx="35">
                  <c:v>1061312.1783876501</c:v>
                </c:pt>
                <c:pt idx="36">
                  <c:v>1031260.4665911664</c:v>
                </c:pt>
                <c:pt idx="37">
                  <c:v>1011298.2998454405</c:v>
                </c:pt>
                <c:pt idx="38">
                  <c:v>1063079.0960451977</c:v>
                </c:pt>
                <c:pt idx="39">
                  <c:v>1055297.0297029703</c:v>
                </c:pt>
                <c:pt idx="40">
                  <c:v>1031075.0507099391</c:v>
                </c:pt>
                <c:pt idx="41">
                  <c:v>932127.19298245618</c:v>
                </c:pt>
                <c:pt idx="42">
                  <c:v>1082425.5319148935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0AB-41CF-8A3C-21379D6FD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8785280"/>
        <c:axId val="908778392"/>
      </c:lineChart>
      <c:catAx>
        <c:axId val="90878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8778392"/>
        <c:crosses val="autoZero"/>
        <c:auto val="1"/>
        <c:lblAlgn val="ctr"/>
        <c:lblOffset val="100"/>
        <c:noMultiLvlLbl val="0"/>
      </c:catAx>
      <c:valAx>
        <c:axId val="90877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878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ローン種類別</a:t>
            </a:r>
            <a:r>
              <a:rPr lang="en-US" altLang="ja-JP"/>
              <a:t>1</a:t>
            </a:r>
            <a:r>
              <a:rPr lang="ja-JP" altLang="en-US"/>
              <a:t>件平均期中貸付額</a:t>
            </a:r>
            <a:endParaRPr lang="en-US" altLang="ja-JP"/>
          </a:p>
          <a:p>
            <a:pPr>
              <a:defRPr/>
            </a:pPr>
            <a:r>
              <a:rPr lang="ja-JP" altLang="en-US"/>
              <a:t>（不動産、会員厚生）（単位：円）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'1件平均貸付額グラフ'!$A$68</c:f>
              <c:strCache>
                <c:ptCount val="1"/>
                <c:pt idx="0">
                  <c:v>不動産ローン等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'1件平均貸付額グラフ'!$B$65:$AR$65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'1件平均貸付額グラフ'!$B$68:$AR$68</c:f>
              <c:numCache>
                <c:formatCode>#,##0_ </c:formatCode>
                <c:ptCount val="43"/>
                <c:pt idx="0">
                  <c:v>3133216.6153846155</c:v>
                </c:pt>
                <c:pt idx="1">
                  <c:v>5000000</c:v>
                </c:pt>
                <c:pt idx="2">
                  <c:v>3350000</c:v>
                </c:pt>
                <c:pt idx="3">
                  <c:v>4665000</c:v>
                </c:pt>
                <c:pt idx="4">
                  <c:v>1900000</c:v>
                </c:pt>
                <c:pt idx="5">
                  <c:v>2674625</c:v>
                </c:pt>
                <c:pt idx="6">
                  <c:v>2795000</c:v>
                </c:pt>
                <c:pt idx="7">
                  <c:v>4000000</c:v>
                </c:pt>
                <c:pt idx="8">
                  <c:v>3479057.1428571427</c:v>
                </c:pt>
                <c:pt idx="9">
                  <c:v>3477727.2727272729</c:v>
                </c:pt>
                <c:pt idx="10">
                  <c:v>1609375</c:v>
                </c:pt>
                <c:pt idx="11">
                  <c:v>3254866.6666666665</c:v>
                </c:pt>
                <c:pt idx="12">
                  <c:v>3376470.588235294</c:v>
                </c:pt>
                <c:pt idx="13">
                  <c:v>4800137.2857142854</c:v>
                </c:pt>
                <c:pt idx="14">
                  <c:v>5335714.5</c:v>
                </c:pt>
                <c:pt idx="15">
                  <c:v>6685294.1176470593</c:v>
                </c:pt>
                <c:pt idx="16">
                  <c:v>9868112.333333334</c:v>
                </c:pt>
                <c:pt idx="17">
                  <c:v>8873455.5</c:v>
                </c:pt>
                <c:pt idx="18">
                  <c:v>9010806.1147540975</c:v>
                </c:pt>
                <c:pt idx="19">
                  <c:v>9731508.421052631</c:v>
                </c:pt>
                <c:pt idx="20">
                  <c:v>8243459.3499999996</c:v>
                </c:pt>
                <c:pt idx="21">
                  <c:v>9156666.666666666</c:v>
                </c:pt>
                <c:pt idx="22">
                  <c:v>9297147.7575757578</c:v>
                </c:pt>
                <c:pt idx="23">
                  <c:v>10143052.542372881</c:v>
                </c:pt>
                <c:pt idx="24">
                  <c:v>8922826.0869565215</c:v>
                </c:pt>
                <c:pt idx="25">
                  <c:v>7610169.4915254237</c:v>
                </c:pt>
                <c:pt idx="26">
                  <c:v>7568533.333333333</c:v>
                </c:pt>
                <c:pt idx="27">
                  <c:v>7199315.0684931511</c:v>
                </c:pt>
                <c:pt idx="28">
                  <c:v>6416842.1052631577</c:v>
                </c:pt>
                <c:pt idx="29">
                  <c:v>6419336.6904761903</c:v>
                </c:pt>
                <c:pt idx="30">
                  <c:v>7070967.7419354841</c:v>
                </c:pt>
                <c:pt idx="31">
                  <c:v>6532352.9411764704</c:v>
                </c:pt>
                <c:pt idx="32">
                  <c:v>7164285.7142857146</c:v>
                </c:pt>
                <c:pt idx="33">
                  <c:v>6918750</c:v>
                </c:pt>
                <c:pt idx="34">
                  <c:v>5243333.333333333</c:v>
                </c:pt>
                <c:pt idx="35">
                  <c:v>3785714.2857142859</c:v>
                </c:pt>
                <c:pt idx="36">
                  <c:v>3516666.6666666665</c:v>
                </c:pt>
                <c:pt idx="37">
                  <c:v>6716666.666666667</c:v>
                </c:pt>
                <c:pt idx="38">
                  <c:v>6088888.888888889</c:v>
                </c:pt>
                <c:pt idx="39">
                  <c:v>4871666.666666667</c:v>
                </c:pt>
                <c:pt idx="40">
                  <c:v>5758333.333333333</c:v>
                </c:pt>
                <c:pt idx="41">
                  <c:v>7115000</c:v>
                </c:pt>
                <c:pt idx="42">
                  <c:v>6550000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42-452F-B1BE-A11B5ED6E3F1}"/>
            </c:ext>
          </c:extLst>
        </c:ser>
        <c:ser>
          <c:idx val="1"/>
          <c:order val="1"/>
          <c:tx>
            <c:strRef>
              <c:f>'1件平均貸付額グラフ'!$A$75</c:f>
              <c:strCache>
                <c:ptCount val="1"/>
                <c:pt idx="0">
                  <c:v>会員厚生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'1件平均貸付額グラフ'!$B$65:$AR$65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'1件平均貸付額グラフ'!$B$75:$AR$75</c:f>
              <c:numCache>
                <c:formatCode>#,##0_ </c:formatCode>
                <c:ptCount val="43"/>
                <c:pt idx="9">
                  <c:v>1295000</c:v>
                </c:pt>
                <c:pt idx="10">
                  <c:v>897647.0588235294</c:v>
                </c:pt>
                <c:pt idx="11">
                  <c:v>735695.92857142852</c:v>
                </c:pt>
                <c:pt idx="12">
                  <c:v>925766.06818181823</c:v>
                </c:pt>
                <c:pt idx="13">
                  <c:v>1006321</c:v>
                </c:pt>
                <c:pt idx="14">
                  <c:v>1500303.0303030303</c:v>
                </c:pt>
                <c:pt idx="15">
                  <c:v>1892187.5</c:v>
                </c:pt>
                <c:pt idx="16">
                  <c:v>1090168.7307692308</c:v>
                </c:pt>
                <c:pt idx="17">
                  <c:v>2832502.2424242422</c:v>
                </c:pt>
                <c:pt idx="18">
                  <c:v>4315000</c:v>
                </c:pt>
                <c:pt idx="19">
                  <c:v>5659523.8095238097</c:v>
                </c:pt>
                <c:pt idx="20">
                  <c:v>4227916.666666667</c:v>
                </c:pt>
                <c:pt idx="21">
                  <c:v>2908235.2941176472</c:v>
                </c:pt>
                <c:pt idx="22">
                  <c:v>966666.66666666663</c:v>
                </c:pt>
                <c:pt idx="23">
                  <c:v>640000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42-452F-B1BE-A11B5ED6E3F1}"/>
            </c:ext>
          </c:extLst>
        </c:ser>
        <c:ser>
          <c:idx val="2"/>
          <c:order val="2"/>
          <c:tx>
            <c:strRef>
              <c:f>'1件平均貸付額グラフ'!$A$76</c:f>
              <c:strCache>
                <c:ptCount val="1"/>
                <c:pt idx="0">
                  <c:v>累計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'1件平均貸付額グラフ'!$B$65:$AR$65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'1件平均貸付額グラフ'!$B$76:$AR$76</c:f>
              <c:numCache>
                <c:formatCode>#,##0_ </c:formatCode>
                <c:ptCount val="43"/>
                <c:pt idx="0">
                  <c:v>848035.35135135136</c:v>
                </c:pt>
                <c:pt idx="1">
                  <c:v>80255.178907721274</c:v>
                </c:pt>
                <c:pt idx="2">
                  <c:v>40557.811158798286</c:v>
                </c:pt>
                <c:pt idx="3">
                  <c:v>98075.322299651569</c:v>
                </c:pt>
                <c:pt idx="4">
                  <c:v>36104.4843726408</c:v>
                </c:pt>
                <c:pt idx="5">
                  <c:v>33295.084824624195</c:v>
                </c:pt>
                <c:pt idx="6">
                  <c:v>499276.16753926704</c:v>
                </c:pt>
                <c:pt idx="7">
                  <c:v>47876.494069806846</c:v>
                </c:pt>
                <c:pt idx="8">
                  <c:v>69685.375740567513</c:v>
                </c:pt>
                <c:pt idx="9">
                  <c:v>107441.00964265456</c:v>
                </c:pt>
                <c:pt idx="10">
                  <c:v>107295.47823706543</c:v>
                </c:pt>
                <c:pt idx="11">
                  <c:v>135205.07826212057</c:v>
                </c:pt>
                <c:pt idx="12">
                  <c:v>157364.76839947829</c:v>
                </c:pt>
                <c:pt idx="13">
                  <c:v>152586.69219168901</c:v>
                </c:pt>
                <c:pt idx="14">
                  <c:v>230366.48370325935</c:v>
                </c:pt>
                <c:pt idx="15">
                  <c:v>225420.85697830678</c:v>
                </c:pt>
                <c:pt idx="16">
                  <c:v>294845.02288237656</c:v>
                </c:pt>
                <c:pt idx="17">
                  <c:v>336994.17597765365</c:v>
                </c:pt>
                <c:pt idx="18">
                  <c:v>378233.09964093356</c:v>
                </c:pt>
                <c:pt idx="19">
                  <c:v>476079.7222982216</c:v>
                </c:pt>
                <c:pt idx="20">
                  <c:v>1106397.7362397821</c:v>
                </c:pt>
                <c:pt idx="21">
                  <c:v>1149604.8956310679</c:v>
                </c:pt>
                <c:pt idx="22">
                  <c:v>1179373.215498155</c:v>
                </c:pt>
                <c:pt idx="23">
                  <c:v>1745702.2555910542</c:v>
                </c:pt>
                <c:pt idx="24">
                  <c:v>1829601.5148514851</c:v>
                </c:pt>
                <c:pt idx="25">
                  <c:v>2385179.8104631216</c:v>
                </c:pt>
                <c:pt idx="26">
                  <c:v>2538754.9840764333</c:v>
                </c:pt>
                <c:pt idx="27">
                  <c:v>2468087.5310015897</c:v>
                </c:pt>
                <c:pt idx="28">
                  <c:v>2271795.2985305493</c:v>
                </c:pt>
                <c:pt idx="29">
                  <c:v>2269376.1067264574</c:v>
                </c:pt>
                <c:pt idx="30">
                  <c:v>1967495.2741020794</c:v>
                </c:pt>
                <c:pt idx="31">
                  <c:v>1736513.5823429541</c:v>
                </c:pt>
                <c:pt idx="32">
                  <c:v>1392783.4045714287</c:v>
                </c:pt>
                <c:pt idx="33">
                  <c:v>1277737.2294416244</c:v>
                </c:pt>
                <c:pt idx="34">
                  <c:v>1174069.9269565218</c:v>
                </c:pt>
                <c:pt idx="35">
                  <c:v>1061312.1783876501</c:v>
                </c:pt>
                <c:pt idx="36">
                  <c:v>1031260.4665911664</c:v>
                </c:pt>
                <c:pt idx="37">
                  <c:v>1011298.2998454405</c:v>
                </c:pt>
                <c:pt idx="38">
                  <c:v>1063079.0960451977</c:v>
                </c:pt>
                <c:pt idx="39">
                  <c:v>1055297.0297029703</c:v>
                </c:pt>
                <c:pt idx="40">
                  <c:v>1031075.0507099391</c:v>
                </c:pt>
                <c:pt idx="41">
                  <c:v>932127.19298245618</c:v>
                </c:pt>
                <c:pt idx="42">
                  <c:v>1082425.5319148935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42-452F-B1BE-A11B5ED6E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063952"/>
        <c:axId val="924060672"/>
      </c:lineChart>
      <c:catAx>
        <c:axId val="92406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24060672"/>
        <c:crosses val="autoZero"/>
        <c:auto val="1"/>
        <c:lblAlgn val="ctr"/>
        <c:lblOffset val="100"/>
        <c:noMultiLvlLbl val="0"/>
      </c:catAx>
      <c:valAx>
        <c:axId val="92406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2406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事業収入・経常剰余金（単位：円）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主要経営指標グラフ!$A$43</c:f>
              <c:strCache>
                <c:ptCount val="1"/>
                <c:pt idx="0">
                  <c:v>事業収入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主要経営指標グラフ!$B$40:$AU$40</c:f>
              <c:strCache>
                <c:ptCount val="46"/>
                <c:pt idx="0">
                  <c:v>1971年度</c:v>
                </c:pt>
                <c:pt idx="1">
                  <c:v>1974年度</c:v>
                </c:pt>
                <c:pt idx="2">
                  <c:v>1975年度</c:v>
                </c:pt>
                <c:pt idx="3">
                  <c:v>1976年度</c:v>
                </c:pt>
                <c:pt idx="4">
                  <c:v>1977年度</c:v>
                </c:pt>
                <c:pt idx="5">
                  <c:v>1978年度</c:v>
                </c:pt>
                <c:pt idx="6">
                  <c:v>1979年度</c:v>
                </c:pt>
                <c:pt idx="7">
                  <c:v>1980年度</c:v>
                </c:pt>
                <c:pt idx="8">
                  <c:v>1981年度</c:v>
                </c:pt>
                <c:pt idx="9">
                  <c:v>1982年度</c:v>
                </c:pt>
                <c:pt idx="10">
                  <c:v>1983年度</c:v>
                </c:pt>
                <c:pt idx="11">
                  <c:v>1984年度</c:v>
                </c:pt>
                <c:pt idx="12">
                  <c:v>1985年度</c:v>
                </c:pt>
                <c:pt idx="13">
                  <c:v>1986年度</c:v>
                </c:pt>
                <c:pt idx="14">
                  <c:v>1987年度</c:v>
                </c:pt>
                <c:pt idx="15">
                  <c:v>1988年度</c:v>
                </c:pt>
                <c:pt idx="16">
                  <c:v>1989年度</c:v>
                </c:pt>
                <c:pt idx="17">
                  <c:v>1990年度</c:v>
                </c:pt>
                <c:pt idx="18">
                  <c:v>1991年度</c:v>
                </c:pt>
                <c:pt idx="19">
                  <c:v>1992年度</c:v>
                </c:pt>
                <c:pt idx="20">
                  <c:v>1993年度</c:v>
                </c:pt>
                <c:pt idx="21">
                  <c:v>1994年度</c:v>
                </c:pt>
                <c:pt idx="22">
                  <c:v>1995年度</c:v>
                </c:pt>
                <c:pt idx="23">
                  <c:v>1996年度</c:v>
                </c:pt>
                <c:pt idx="24">
                  <c:v>1997年度</c:v>
                </c:pt>
                <c:pt idx="25">
                  <c:v>1998年度</c:v>
                </c:pt>
                <c:pt idx="26">
                  <c:v>1999年度</c:v>
                </c:pt>
                <c:pt idx="27">
                  <c:v>2000年度</c:v>
                </c:pt>
                <c:pt idx="28">
                  <c:v>2001年度</c:v>
                </c:pt>
                <c:pt idx="29">
                  <c:v>2002年度</c:v>
                </c:pt>
                <c:pt idx="30">
                  <c:v>2003年度</c:v>
                </c:pt>
                <c:pt idx="31">
                  <c:v>2004年度</c:v>
                </c:pt>
                <c:pt idx="32">
                  <c:v>2005年度</c:v>
                </c:pt>
                <c:pt idx="33">
                  <c:v>2006年度</c:v>
                </c:pt>
                <c:pt idx="34">
                  <c:v>2007年度</c:v>
                </c:pt>
                <c:pt idx="35">
                  <c:v>2008年度</c:v>
                </c:pt>
                <c:pt idx="36">
                  <c:v>2009年度</c:v>
                </c:pt>
                <c:pt idx="37">
                  <c:v>2010年度</c:v>
                </c:pt>
                <c:pt idx="38">
                  <c:v>2011年度</c:v>
                </c:pt>
                <c:pt idx="39">
                  <c:v>2012年度</c:v>
                </c:pt>
                <c:pt idx="40">
                  <c:v>2013年度</c:v>
                </c:pt>
                <c:pt idx="41">
                  <c:v>2014年度</c:v>
                </c:pt>
                <c:pt idx="42">
                  <c:v>2015年度</c:v>
                </c:pt>
                <c:pt idx="43">
                  <c:v>2016年度</c:v>
                </c:pt>
                <c:pt idx="44">
                  <c:v>2017年度</c:v>
                </c:pt>
                <c:pt idx="45">
                  <c:v>2018年度</c:v>
                </c:pt>
              </c:strCache>
            </c:strRef>
          </c:cat>
          <c:val>
            <c:numRef>
              <c:f>主要経営指標グラフ!$B$43:$AU$43</c:f>
              <c:numCache>
                <c:formatCode>#,##0;"△ "#,##0</c:formatCode>
                <c:ptCount val="46"/>
                <c:pt idx="0">
                  <c:v>7255976</c:v>
                </c:pt>
                <c:pt idx="1">
                  <c:v>6574610</c:v>
                </c:pt>
                <c:pt idx="2">
                  <c:v>3006901</c:v>
                </c:pt>
                <c:pt idx="3">
                  <c:v>6306032</c:v>
                </c:pt>
                <c:pt idx="4">
                  <c:v>8719850</c:v>
                </c:pt>
                <c:pt idx="5">
                  <c:v>11171727</c:v>
                </c:pt>
                <c:pt idx="6">
                  <c:v>10589557</c:v>
                </c:pt>
                <c:pt idx="7">
                  <c:v>18256921</c:v>
                </c:pt>
                <c:pt idx="8">
                  <c:v>30780421</c:v>
                </c:pt>
                <c:pt idx="9">
                  <c:v>56639919</c:v>
                </c:pt>
                <c:pt idx="10">
                  <c:v>71164229</c:v>
                </c:pt>
                <c:pt idx="11">
                  <c:v>82187558</c:v>
                </c:pt>
                <c:pt idx="12">
                  <c:v>95752432</c:v>
                </c:pt>
                <c:pt idx="13">
                  <c:v>88871087</c:v>
                </c:pt>
                <c:pt idx="14">
                  <c:v>97514819</c:v>
                </c:pt>
                <c:pt idx="15">
                  <c:v>123132847</c:v>
                </c:pt>
                <c:pt idx="16">
                  <c:v>146157789</c:v>
                </c:pt>
                <c:pt idx="17">
                  <c:v>182082762</c:v>
                </c:pt>
                <c:pt idx="18">
                  <c:v>297378698</c:v>
                </c:pt>
                <c:pt idx="19">
                  <c:v>262035415</c:v>
                </c:pt>
                <c:pt idx="20">
                  <c:v>375216794</c:v>
                </c:pt>
                <c:pt idx="21">
                  <c:v>392188233</c:v>
                </c:pt>
                <c:pt idx="22">
                  <c:v>569733119</c:v>
                </c:pt>
                <c:pt idx="23">
                  <c:v>486907275</c:v>
                </c:pt>
                <c:pt idx="24">
                  <c:v>456579516</c:v>
                </c:pt>
                <c:pt idx="25">
                  <c:v>486649004</c:v>
                </c:pt>
                <c:pt idx="26">
                  <c:v>474055567</c:v>
                </c:pt>
                <c:pt idx="27">
                  <c:v>522228623</c:v>
                </c:pt>
                <c:pt idx="28">
                  <c:v>590369152</c:v>
                </c:pt>
                <c:pt idx="29">
                  <c:v>670055889</c:v>
                </c:pt>
                <c:pt idx="30">
                  <c:v>787813714</c:v>
                </c:pt>
                <c:pt idx="31">
                  <c:v>755009734</c:v>
                </c:pt>
                <c:pt idx="32">
                  <c:v>777545180</c:v>
                </c:pt>
                <c:pt idx="33">
                  <c:v>738124837</c:v>
                </c:pt>
                <c:pt idx="34">
                  <c:v>698803718</c:v>
                </c:pt>
                <c:pt idx="35">
                  <c:v>630322470</c:v>
                </c:pt>
                <c:pt idx="36">
                  <c:v>538293758</c:v>
                </c:pt>
                <c:pt idx="37">
                  <c:v>481797500</c:v>
                </c:pt>
                <c:pt idx="38">
                  <c:v>440582048</c:v>
                </c:pt>
                <c:pt idx="39">
                  <c:v>399485427</c:v>
                </c:pt>
                <c:pt idx="40">
                  <c:v>340271786</c:v>
                </c:pt>
                <c:pt idx="41">
                  <c:v>316029895</c:v>
                </c:pt>
                <c:pt idx="42">
                  <c:v>267763259</c:v>
                </c:pt>
                <c:pt idx="43">
                  <c:v>233618910</c:v>
                </c:pt>
                <c:pt idx="44">
                  <c:v>203047876</c:v>
                </c:pt>
                <c:pt idx="45">
                  <c:v>177008417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7C-4773-85A6-C59A2970F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296096"/>
        <c:axId val="425296424"/>
      </c:barChart>
      <c:lineChart>
        <c:grouping val="standard"/>
        <c:varyColors val="0"/>
        <c:ser>
          <c:idx val="1"/>
          <c:order val="1"/>
          <c:tx>
            <c:strRef>
              <c:f>主要経営指標グラフ!$A$44</c:f>
              <c:strCache>
                <c:ptCount val="1"/>
                <c:pt idx="0">
                  <c:v>経常剰余金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主要経営指標グラフ!$B$40:$AU$40</c:f>
              <c:strCache>
                <c:ptCount val="46"/>
                <c:pt idx="0">
                  <c:v>1971年度</c:v>
                </c:pt>
                <c:pt idx="1">
                  <c:v>1974年度</c:v>
                </c:pt>
                <c:pt idx="2">
                  <c:v>1975年度</c:v>
                </c:pt>
                <c:pt idx="3">
                  <c:v>1976年度</c:v>
                </c:pt>
                <c:pt idx="4">
                  <c:v>1977年度</c:v>
                </c:pt>
                <c:pt idx="5">
                  <c:v>1978年度</c:v>
                </c:pt>
                <c:pt idx="6">
                  <c:v>1979年度</c:v>
                </c:pt>
                <c:pt idx="7">
                  <c:v>1980年度</c:v>
                </c:pt>
                <c:pt idx="8">
                  <c:v>1981年度</c:v>
                </c:pt>
                <c:pt idx="9">
                  <c:v>1982年度</c:v>
                </c:pt>
                <c:pt idx="10">
                  <c:v>1983年度</c:v>
                </c:pt>
                <c:pt idx="11">
                  <c:v>1984年度</c:v>
                </c:pt>
                <c:pt idx="12">
                  <c:v>1985年度</c:v>
                </c:pt>
                <c:pt idx="13">
                  <c:v>1986年度</c:v>
                </c:pt>
                <c:pt idx="14">
                  <c:v>1987年度</c:v>
                </c:pt>
                <c:pt idx="15">
                  <c:v>1988年度</c:v>
                </c:pt>
                <c:pt idx="16">
                  <c:v>1989年度</c:v>
                </c:pt>
                <c:pt idx="17">
                  <c:v>1990年度</c:v>
                </c:pt>
                <c:pt idx="18">
                  <c:v>1991年度</c:v>
                </c:pt>
                <c:pt idx="19">
                  <c:v>1992年度</c:v>
                </c:pt>
                <c:pt idx="20">
                  <c:v>1993年度</c:v>
                </c:pt>
                <c:pt idx="21">
                  <c:v>1994年度</c:v>
                </c:pt>
                <c:pt idx="22">
                  <c:v>1995年度</c:v>
                </c:pt>
                <c:pt idx="23">
                  <c:v>1996年度</c:v>
                </c:pt>
                <c:pt idx="24">
                  <c:v>1997年度</c:v>
                </c:pt>
                <c:pt idx="25">
                  <c:v>1998年度</c:v>
                </c:pt>
                <c:pt idx="26">
                  <c:v>1999年度</c:v>
                </c:pt>
                <c:pt idx="27">
                  <c:v>2000年度</c:v>
                </c:pt>
                <c:pt idx="28">
                  <c:v>2001年度</c:v>
                </c:pt>
                <c:pt idx="29">
                  <c:v>2002年度</c:v>
                </c:pt>
                <c:pt idx="30">
                  <c:v>2003年度</c:v>
                </c:pt>
                <c:pt idx="31">
                  <c:v>2004年度</c:v>
                </c:pt>
                <c:pt idx="32">
                  <c:v>2005年度</c:v>
                </c:pt>
                <c:pt idx="33">
                  <c:v>2006年度</c:v>
                </c:pt>
                <c:pt idx="34">
                  <c:v>2007年度</c:v>
                </c:pt>
                <c:pt idx="35">
                  <c:v>2008年度</c:v>
                </c:pt>
                <c:pt idx="36">
                  <c:v>2009年度</c:v>
                </c:pt>
                <c:pt idx="37">
                  <c:v>2010年度</c:v>
                </c:pt>
                <c:pt idx="38">
                  <c:v>2011年度</c:v>
                </c:pt>
                <c:pt idx="39">
                  <c:v>2012年度</c:v>
                </c:pt>
                <c:pt idx="40">
                  <c:v>2013年度</c:v>
                </c:pt>
                <c:pt idx="41">
                  <c:v>2014年度</c:v>
                </c:pt>
                <c:pt idx="42">
                  <c:v>2015年度</c:v>
                </c:pt>
                <c:pt idx="43">
                  <c:v>2016年度</c:v>
                </c:pt>
                <c:pt idx="44">
                  <c:v>2017年度</c:v>
                </c:pt>
                <c:pt idx="45">
                  <c:v>2018年度</c:v>
                </c:pt>
              </c:strCache>
            </c:strRef>
          </c:cat>
          <c:val>
            <c:numRef>
              <c:f>主要経営指標グラフ!$B$44:$AU$44</c:f>
              <c:numCache>
                <c:formatCode>#,##0;"△ "#,##0</c:formatCode>
                <c:ptCount val="46"/>
                <c:pt idx="0">
                  <c:v>50565</c:v>
                </c:pt>
                <c:pt idx="1">
                  <c:v>1577008</c:v>
                </c:pt>
                <c:pt idx="2">
                  <c:v>-806196</c:v>
                </c:pt>
                <c:pt idx="3">
                  <c:v>1767451</c:v>
                </c:pt>
                <c:pt idx="4">
                  <c:v>860115</c:v>
                </c:pt>
                <c:pt idx="5">
                  <c:v>1030579</c:v>
                </c:pt>
                <c:pt idx="6">
                  <c:v>1332717</c:v>
                </c:pt>
                <c:pt idx="7">
                  <c:v>636589</c:v>
                </c:pt>
                <c:pt idx="8">
                  <c:v>6867812</c:v>
                </c:pt>
                <c:pt idx="9">
                  <c:v>1271400</c:v>
                </c:pt>
                <c:pt idx="10">
                  <c:v>2523975</c:v>
                </c:pt>
                <c:pt idx="11">
                  <c:v>4119152</c:v>
                </c:pt>
                <c:pt idx="12">
                  <c:v>4649625</c:v>
                </c:pt>
                <c:pt idx="13">
                  <c:v>2352233</c:v>
                </c:pt>
                <c:pt idx="14">
                  <c:v>9610240</c:v>
                </c:pt>
                <c:pt idx="15">
                  <c:v>15553213</c:v>
                </c:pt>
                <c:pt idx="16">
                  <c:v>12025624</c:v>
                </c:pt>
                <c:pt idx="17">
                  <c:v>7470023</c:v>
                </c:pt>
                <c:pt idx="18">
                  <c:v>6738615</c:v>
                </c:pt>
                <c:pt idx="19">
                  <c:v>33075192</c:v>
                </c:pt>
                <c:pt idx="20">
                  <c:v>59821660</c:v>
                </c:pt>
                <c:pt idx="21">
                  <c:v>36972362</c:v>
                </c:pt>
                <c:pt idx="22">
                  <c:v>73789585</c:v>
                </c:pt>
                <c:pt idx="23">
                  <c:v>76028591</c:v>
                </c:pt>
                <c:pt idx="24">
                  <c:v>119815804</c:v>
                </c:pt>
                <c:pt idx="25">
                  <c:v>119775996</c:v>
                </c:pt>
                <c:pt idx="26">
                  <c:v>119477691</c:v>
                </c:pt>
                <c:pt idx="27">
                  <c:v>107343438</c:v>
                </c:pt>
                <c:pt idx="28">
                  <c:v>109847337</c:v>
                </c:pt>
                <c:pt idx="29">
                  <c:v>150689480</c:v>
                </c:pt>
                <c:pt idx="30">
                  <c:v>159023436</c:v>
                </c:pt>
                <c:pt idx="31">
                  <c:v>102779185</c:v>
                </c:pt>
                <c:pt idx="32">
                  <c:v>123176197</c:v>
                </c:pt>
                <c:pt idx="33">
                  <c:v>125374077</c:v>
                </c:pt>
                <c:pt idx="34">
                  <c:v>65767712</c:v>
                </c:pt>
                <c:pt idx="35">
                  <c:v>120832336</c:v>
                </c:pt>
                <c:pt idx="36">
                  <c:v>58767807</c:v>
                </c:pt>
                <c:pt idx="37">
                  <c:v>60815871</c:v>
                </c:pt>
                <c:pt idx="38">
                  <c:v>43685204</c:v>
                </c:pt>
                <c:pt idx="39">
                  <c:v>59770697</c:v>
                </c:pt>
                <c:pt idx="40">
                  <c:v>24395105</c:v>
                </c:pt>
                <c:pt idx="41">
                  <c:v>72875173</c:v>
                </c:pt>
                <c:pt idx="42">
                  <c:v>54100393</c:v>
                </c:pt>
                <c:pt idx="43">
                  <c:v>31360623</c:v>
                </c:pt>
                <c:pt idx="44">
                  <c:v>37268594</c:v>
                </c:pt>
                <c:pt idx="45">
                  <c:v>59680924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7C-4773-85A6-C59A2970F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286256"/>
        <c:axId val="425284288"/>
      </c:lineChart>
      <c:catAx>
        <c:axId val="42529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5296424"/>
        <c:crosses val="autoZero"/>
        <c:auto val="1"/>
        <c:lblAlgn val="ctr"/>
        <c:lblOffset val="100"/>
        <c:noMultiLvlLbl val="0"/>
      </c:catAx>
      <c:valAx>
        <c:axId val="425296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5296096"/>
        <c:crosses val="autoZero"/>
        <c:crossBetween val="between"/>
      </c:valAx>
      <c:valAx>
        <c:axId val="425284288"/>
        <c:scaling>
          <c:orientation val="minMax"/>
        </c:scaling>
        <c:delete val="0"/>
        <c:axPos val="r"/>
        <c:numFmt formatCode="#,##0;&quot;△ 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5286256"/>
        <c:crosses val="max"/>
        <c:crossBetween val="between"/>
      </c:valAx>
      <c:catAx>
        <c:axId val="425286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5284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ローン種類別　利息収入額（単位：円）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利息収入推移グラフ!$A$66</c:f>
              <c:strCache>
                <c:ptCount val="1"/>
                <c:pt idx="0">
                  <c:v>無担保ローン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利息収入推移グラフ!$B$65:$AP$65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利息収入推移グラフ!$B$66:$AP$66</c:f>
              <c:numCache>
                <c:formatCode>#,##0_ </c:formatCode>
                <c:ptCount val="41"/>
                <c:pt idx="0">
                  <c:v>410026</c:v>
                </c:pt>
                <c:pt idx="1">
                  <c:v>2400000</c:v>
                </c:pt>
                <c:pt idx="2">
                  <c:v>540000</c:v>
                </c:pt>
                <c:pt idx="3">
                  <c:v>527000</c:v>
                </c:pt>
                <c:pt idx="4">
                  <c:v>416000</c:v>
                </c:pt>
                <c:pt idx="5">
                  <c:v>1516000</c:v>
                </c:pt>
                <c:pt idx="6">
                  <c:v>3969000</c:v>
                </c:pt>
                <c:pt idx="7">
                  <c:v>18050000</c:v>
                </c:pt>
                <c:pt idx="8">
                  <c:v>14229823</c:v>
                </c:pt>
                <c:pt idx="9">
                  <c:v>13191004</c:v>
                </c:pt>
                <c:pt idx="10">
                  <c:v>9777901</c:v>
                </c:pt>
                <c:pt idx="11">
                  <c:v>13274633</c:v>
                </c:pt>
                <c:pt idx="12">
                  <c:v>27306604</c:v>
                </c:pt>
                <c:pt idx="13">
                  <c:v>53071872</c:v>
                </c:pt>
                <c:pt idx="14">
                  <c:v>98609395</c:v>
                </c:pt>
                <c:pt idx="15">
                  <c:v>141979414</c:v>
                </c:pt>
                <c:pt idx="16">
                  <c:v>172471445</c:v>
                </c:pt>
                <c:pt idx="17">
                  <c:v>198919443</c:v>
                </c:pt>
                <c:pt idx="18">
                  <c:v>224995594</c:v>
                </c:pt>
                <c:pt idx="19">
                  <c:v>274871952</c:v>
                </c:pt>
                <c:pt idx="20">
                  <c:v>300941568</c:v>
                </c:pt>
                <c:pt idx="21">
                  <c:v>319532962</c:v>
                </c:pt>
                <c:pt idx="22">
                  <c:v>373607769</c:v>
                </c:pt>
                <c:pt idx="23">
                  <c:v>439406450</c:v>
                </c:pt>
                <c:pt idx="24">
                  <c:v>507237804</c:v>
                </c:pt>
                <c:pt idx="25">
                  <c:v>571382596</c:v>
                </c:pt>
                <c:pt idx="26">
                  <c:v>601001328</c:v>
                </c:pt>
                <c:pt idx="27">
                  <c:v>605443270</c:v>
                </c:pt>
                <c:pt idx="28">
                  <c:v>576126751</c:v>
                </c:pt>
                <c:pt idx="29">
                  <c:v>538276228</c:v>
                </c:pt>
                <c:pt idx="30">
                  <c:v>480817670</c:v>
                </c:pt>
                <c:pt idx="31">
                  <c:v>402371628</c:v>
                </c:pt>
                <c:pt idx="32">
                  <c:v>339296742</c:v>
                </c:pt>
                <c:pt idx="33">
                  <c:v>297121261</c:v>
                </c:pt>
                <c:pt idx="34">
                  <c:v>279959333</c:v>
                </c:pt>
                <c:pt idx="35">
                  <c:v>230536873</c:v>
                </c:pt>
                <c:pt idx="36">
                  <c:v>198394773</c:v>
                </c:pt>
                <c:pt idx="37">
                  <c:v>170161742</c:v>
                </c:pt>
                <c:pt idx="38">
                  <c:v>145702971</c:v>
                </c:pt>
                <c:pt idx="39">
                  <c:v>123160091</c:v>
                </c:pt>
                <c:pt idx="40">
                  <c:v>109797311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A-4D9E-9191-8C41B8DA0663}"/>
            </c:ext>
          </c:extLst>
        </c:ser>
        <c:ser>
          <c:idx val="1"/>
          <c:order val="1"/>
          <c:tx>
            <c:strRef>
              <c:f>利息収入推移グラフ!$A$67</c:f>
              <c:strCache>
                <c:ptCount val="1"/>
                <c:pt idx="0">
                  <c:v>オートローン等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利息収入推移グラフ!$B$65:$AP$65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利息収入推移グラフ!$B$67:$AP$67</c:f>
              <c:numCache>
                <c:formatCode>#,##0_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3273000</c:v>
                </c:pt>
                <c:pt idx="3">
                  <c:v>2566000</c:v>
                </c:pt>
                <c:pt idx="4">
                  <c:v>1941000</c:v>
                </c:pt>
                <c:pt idx="5">
                  <c:v>3204000</c:v>
                </c:pt>
                <c:pt idx="6">
                  <c:v>3922000</c:v>
                </c:pt>
                <c:pt idx="7">
                  <c:v>21328000</c:v>
                </c:pt>
                <c:pt idx="8">
                  <c:v>26503090</c:v>
                </c:pt>
                <c:pt idx="9">
                  <c:v>30695724</c:v>
                </c:pt>
                <c:pt idx="10">
                  <c:v>36567128</c:v>
                </c:pt>
                <c:pt idx="11">
                  <c:v>47543233</c:v>
                </c:pt>
                <c:pt idx="12">
                  <c:v>57072371</c:v>
                </c:pt>
                <c:pt idx="13">
                  <c:v>39842563</c:v>
                </c:pt>
                <c:pt idx="14">
                  <c:v>30546114</c:v>
                </c:pt>
                <c:pt idx="15">
                  <c:v>22212506</c:v>
                </c:pt>
                <c:pt idx="16">
                  <c:v>22265543</c:v>
                </c:pt>
                <c:pt idx="17">
                  <c:v>15500300</c:v>
                </c:pt>
                <c:pt idx="18">
                  <c:v>13449116</c:v>
                </c:pt>
                <c:pt idx="19">
                  <c:v>10871109</c:v>
                </c:pt>
                <c:pt idx="20">
                  <c:v>11655412</c:v>
                </c:pt>
                <c:pt idx="21">
                  <c:v>7255321</c:v>
                </c:pt>
                <c:pt idx="22">
                  <c:v>6289365</c:v>
                </c:pt>
                <c:pt idx="23">
                  <c:v>5392460</c:v>
                </c:pt>
                <c:pt idx="24">
                  <c:v>4770428</c:v>
                </c:pt>
                <c:pt idx="25">
                  <c:v>3944719</c:v>
                </c:pt>
                <c:pt idx="26">
                  <c:v>2726824</c:v>
                </c:pt>
                <c:pt idx="27">
                  <c:v>4847784</c:v>
                </c:pt>
                <c:pt idx="28">
                  <c:v>5908741</c:v>
                </c:pt>
                <c:pt idx="29">
                  <c:v>12045917</c:v>
                </c:pt>
                <c:pt idx="30">
                  <c:v>22074368</c:v>
                </c:pt>
                <c:pt idx="31">
                  <c:v>27081819</c:v>
                </c:pt>
                <c:pt idx="32">
                  <c:v>25809971</c:v>
                </c:pt>
                <c:pt idx="33">
                  <c:v>24957743</c:v>
                </c:pt>
                <c:pt idx="34">
                  <c:v>27577942</c:v>
                </c:pt>
                <c:pt idx="35">
                  <c:v>26600347</c:v>
                </c:pt>
                <c:pt idx="36">
                  <c:v>26179150</c:v>
                </c:pt>
                <c:pt idx="37">
                  <c:v>25130497</c:v>
                </c:pt>
                <c:pt idx="38">
                  <c:v>23048423</c:v>
                </c:pt>
                <c:pt idx="39">
                  <c:v>18921535</c:v>
                </c:pt>
                <c:pt idx="40">
                  <c:v>16838857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A-4D9E-9191-8C41B8DA0663}"/>
            </c:ext>
          </c:extLst>
        </c:ser>
        <c:ser>
          <c:idx val="2"/>
          <c:order val="2"/>
          <c:tx>
            <c:strRef>
              <c:f>利息収入推移グラフ!$A$68</c:f>
              <c:strCache>
                <c:ptCount val="1"/>
                <c:pt idx="0">
                  <c:v>不動産ローン等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利息収入推移グラフ!$B$65:$AP$65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利息収入推移グラフ!$B$68:$AP$68</c:f>
              <c:numCache>
                <c:formatCode>#,##0_ </c:formatCode>
                <c:ptCount val="41"/>
                <c:pt idx="0">
                  <c:v>5883000</c:v>
                </c:pt>
                <c:pt idx="1">
                  <c:v>3000000</c:v>
                </c:pt>
                <c:pt idx="2">
                  <c:v>2825000</c:v>
                </c:pt>
                <c:pt idx="3">
                  <c:v>2073000</c:v>
                </c:pt>
                <c:pt idx="4">
                  <c:v>6522000</c:v>
                </c:pt>
                <c:pt idx="5">
                  <c:v>9434000</c:v>
                </c:pt>
                <c:pt idx="6">
                  <c:v>20586000</c:v>
                </c:pt>
                <c:pt idx="7">
                  <c:v>42034000</c:v>
                </c:pt>
                <c:pt idx="8">
                  <c:v>27735308</c:v>
                </c:pt>
                <c:pt idx="9">
                  <c:v>17892672</c:v>
                </c:pt>
                <c:pt idx="10">
                  <c:v>14745615</c:v>
                </c:pt>
                <c:pt idx="11">
                  <c:v>14556588</c:v>
                </c:pt>
                <c:pt idx="12">
                  <c:v>21673178</c:v>
                </c:pt>
                <c:pt idx="13">
                  <c:v>21424658</c:v>
                </c:pt>
                <c:pt idx="14">
                  <c:v>29620273</c:v>
                </c:pt>
                <c:pt idx="15">
                  <c:v>46006138</c:v>
                </c:pt>
                <c:pt idx="16">
                  <c:v>63233396</c:v>
                </c:pt>
                <c:pt idx="17">
                  <c:v>84272039</c:v>
                </c:pt>
                <c:pt idx="18">
                  <c:v>76923049</c:v>
                </c:pt>
                <c:pt idx="19">
                  <c:v>92513663</c:v>
                </c:pt>
                <c:pt idx="20">
                  <c:v>92551602</c:v>
                </c:pt>
                <c:pt idx="21">
                  <c:v>93128871</c:v>
                </c:pt>
                <c:pt idx="22">
                  <c:v>92905927</c:v>
                </c:pt>
                <c:pt idx="23">
                  <c:v>92683033</c:v>
                </c:pt>
                <c:pt idx="24">
                  <c:v>90277973</c:v>
                </c:pt>
                <c:pt idx="25">
                  <c:v>83665675</c:v>
                </c:pt>
                <c:pt idx="26">
                  <c:v>101622400</c:v>
                </c:pt>
                <c:pt idx="27">
                  <c:v>114715143</c:v>
                </c:pt>
                <c:pt idx="28">
                  <c:v>117632947</c:v>
                </c:pt>
                <c:pt idx="29">
                  <c:v>87941401</c:v>
                </c:pt>
                <c:pt idx="30">
                  <c:v>71739930</c:v>
                </c:pt>
                <c:pt idx="31">
                  <c:v>71392415</c:v>
                </c:pt>
                <c:pt idx="32">
                  <c:v>47911178</c:v>
                </c:pt>
                <c:pt idx="33">
                  <c:v>54632438</c:v>
                </c:pt>
                <c:pt idx="34">
                  <c:v>37008236</c:v>
                </c:pt>
                <c:pt idx="35">
                  <c:v>30743068</c:v>
                </c:pt>
                <c:pt idx="36">
                  <c:v>32102206</c:v>
                </c:pt>
                <c:pt idx="37">
                  <c:v>24527059</c:v>
                </c:pt>
                <c:pt idx="38">
                  <c:v>23493278</c:v>
                </c:pt>
                <c:pt idx="39">
                  <c:v>23696809</c:v>
                </c:pt>
                <c:pt idx="40">
                  <c:v>18123545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5A-4D9E-9191-8C41B8DA0663}"/>
            </c:ext>
          </c:extLst>
        </c:ser>
        <c:ser>
          <c:idx val="3"/>
          <c:order val="3"/>
          <c:tx>
            <c:strRef>
              <c:f>利息収入推移グラフ!$A$69</c:f>
              <c:strCache>
                <c:ptCount val="1"/>
                <c:pt idx="0">
                  <c:v>火災共済貸付等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利息収入推移グラフ!$B$65:$AP$65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利息収入推移グラフ!$B$69:$AP$69</c:f>
              <c:numCache>
                <c:formatCode>#,##0_ </c:formatCode>
                <c:ptCount val="41"/>
                <c:pt idx="0">
                  <c:v>21000</c:v>
                </c:pt>
                <c:pt idx="1">
                  <c:v>3120000</c:v>
                </c:pt>
                <c:pt idx="2">
                  <c:v>8526000</c:v>
                </c:pt>
                <c:pt idx="3">
                  <c:v>3743000</c:v>
                </c:pt>
                <c:pt idx="4">
                  <c:v>483000</c:v>
                </c:pt>
                <c:pt idx="5">
                  <c:v>1893000</c:v>
                </c:pt>
                <c:pt idx="6">
                  <c:v>742000</c:v>
                </c:pt>
                <c:pt idx="7">
                  <c:v>5898000</c:v>
                </c:pt>
                <c:pt idx="8">
                  <c:v>9334273</c:v>
                </c:pt>
                <c:pt idx="9">
                  <c:v>14524639</c:v>
                </c:pt>
                <c:pt idx="10">
                  <c:v>25857666</c:v>
                </c:pt>
                <c:pt idx="11">
                  <c:v>31913924</c:v>
                </c:pt>
                <c:pt idx="12">
                  <c:v>33989988</c:v>
                </c:pt>
                <c:pt idx="13">
                  <c:v>35045755</c:v>
                </c:pt>
                <c:pt idx="14">
                  <c:v>32719957</c:v>
                </c:pt>
                <c:pt idx="15">
                  <c:v>26866741</c:v>
                </c:pt>
                <c:pt idx="16">
                  <c:v>20621710</c:v>
                </c:pt>
                <c:pt idx="17">
                  <c:v>18988968</c:v>
                </c:pt>
                <c:pt idx="18">
                  <c:v>16253146</c:v>
                </c:pt>
                <c:pt idx="19">
                  <c:v>17742035</c:v>
                </c:pt>
                <c:pt idx="20">
                  <c:v>18424408</c:v>
                </c:pt>
                <c:pt idx="21">
                  <c:v>18533823</c:v>
                </c:pt>
                <c:pt idx="22">
                  <c:v>20845831</c:v>
                </c:pt>
                <c:pt idx="23">
                  <c:v>20634050</c:v>
                </c:pt>
                <c:pt idx="24">
                  <c:v>19368268</c:v>
                </c:pt>
                <c:pt idx="25">
                  <c:v>18894445</c:v>
                </c:pt>
                <c:pt idx="26">
                  <c:v>19253085</c:v>
                </c:pt>
                <c:pt idx="27">
                  <c:v>19952830</c:v>
                </c:pt>
                <c:pt idx="28">
                  <c:v>21418512</c:v>
                </c:pt>
                <c:pt idx="29">
                  <c:v>24079285</c:v>
                </c:pt>
                <c:pt idx="30">
                  <c:v>25609193</c:v>
                </c:pt>
                <c:pt idx="31">
                  <c:v>21517731</c:v>
                </c:pt>
                <c:pt idx="32">
                  <c:v>25804907</c:v>
                </c:pt>
                <c:pt idx="33">
                  <c:v>32311307</c:v>
                </c:pt>
                <c:pt idx="34">
                  <c:v>36975513</c:v>
                </c:pt>
                <c:pt idx="35">
                  <c:v>39124781</c:v>
                </c:pt>
                <c:pt idx="36">
                  <c:v>38962396</c:v>
                </c:pt>
                <c:pt idx="37">
                  <c:v>35990960</c:v>
                </c:pt>
                <c:pt idx="38">
                  <c:v>32641349</c:v>
                </c:pt>
                <c:pt idx="39">
                  <c:v>26761425</c:v>
                </c:pt>
                <c:pt idx="40">
                  <c:v>22938009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5A-4D9E-9191-8C41B8DA0663}"/>
            </c:ext>
          </c:extLst>
        </c:ser>
        <c:ser>
          <c:idx val="4"/>
          <c:order val="4"/>
          <c:tx>
            <c:strRef>
              <c:f>利息収入推移グラフ!$A$70</c:f>
              <c:strCache>
                <c:ptCount val="1"/>
                <c:pt idx="0">
                  <c:v>共済会ローン等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利息収入推移グラフ!$B$65:$AP$65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利息収入推移グラフ!$B$70:$AP$70</c:f>
              <c:numCache>
                <c:formatCode>#,##0_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3472000</c:v>
                </c:pt>
                <c:pt idx="8">
                  <c:v>3210340</c:v>
                </c:pt>
                <c:pt idx="9">
                  <c:v>16222018</c:v>
                </c:pt>
                <c:pt idx="10">
                  <c:v>30961681</c:v>
                </c:pt>
                <c:pt idx="11">
                  <c:v>29766650</c:v>
                </c:pt>
                <c:pt idx="12">
                  <c:v>31403075</c:v>
                </c:pt>
                <c:pt idx="13">
                  <c:v>34072049</c:v>
                </c:pt>
                <c:pt idx="14">
                  <c:v>32419312</c:v>
                </c:pt>
                <c:pt idx="15">
                  <c:v>27540440</c:v>
                </c:pt>
                <c:pt idx="16">
                  <c:v>24384565</c:v>
                </c:pt>
                <c:pt idx="17">
                  <c:v>18952413</c:v>
                </c:pt>
                <c:pt idx="18">
                  <c:v>14110285</c:v>
                </c:pt>
                <c:pt idx="19">
                  <c:v>13234755</c:v>
                </c:pt>
                <c:pt idx="20">
                  <c:v>10728240</c:v>
                </c:pt>
                <c:pt idx="21">
                  <c:v>7866202</c:v>
                </c:pt>
                <c:pt idx="22">
                  <c:v>6347356</c:v>
                </c:pt>
                <c:pt idx="23">
                  <c:v>5662893</c:v>
                </c:pt>
                <c:pt idx="24">
                  <c:v>4796781</c:v>
                </c:pt>
                <c:pt idx="25">
                  <c:v>3928497</c:v>
                </c:pt>
                <c:pt idx="26">
                  <c:v>3072191</c:v>
                </c:pt>
                <c:pt idx="27">
                  <c:v>2794450</c:v>
                </c:pt>
                <c:pt idx="28">
                  <c:v>2688272</c:v>
                </c:pt>
                <c:pt idx="29">
                  <c:v>2490824</c:v>
                </c:pt>
                <c:pt idx="30">
                  <c:v>2273991</c:v>
                </c:pt>
                <c:pt idx="31">
                  <c:v>1649459</c:v>
                </c:pt>
                <c:pt idx="32">
                  <c:v>1652194</c:v>
                </c:pt>
                <c:pt idx="33">
                  <c:v>1368933</c:v>
                </c:pt>
                <c:pt idx="34">
                  <c:v>1071311</c:v>
                </c:pt>
                <c:pt idx="35">
                  <c:v>842086</c:v>
                </c:pt>
                <c:pt idx="36">
                  <c:v>547958</c:v>
                </c:pt>
                <c:pt idx="37">
                  <c:v>460685</c:v>
                </c:pt>
                <c:pt idx="38">
                  <c:v>354662</c:v>
                </c:pt>
                <c:pt idx="39">
                  <c:v>297228</c:v>
                </c:pt>
                <c:pt idx="40">
                  <c:v>193960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5A-4D9E-9191-8C41B8DA0663}"/>
            </c:ext>
          </c:extLst>
        </c:ser>
        <c:ser>
          <c:idx val="5"/>
          <c:order val="5"/>
          <c:tx>
            <c:strRef>
              <c:f>利息収入推移グラフ!$A$71</c:f>
              <c:strCache>
                <c:ptCount val="1"/>
                <c:pt idx="0">
                  <c:v>生活支援ローン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利息収入推移グラフ!$B$65:$AP$65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利息収入推移グラフ!$B$71:$AP$71</c:f>
              <c:numCache>
                <c:formatCode>#,##0_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55683</c:v>
                </c:pt>
                <c:pt idx="31">
                  <c:v>1062847</c:v>
                </c:pt>
                <c:pt idx="32">
                  <c:v>1559982</c:v>
                </c:pt>
                <c:pt idx="33">
                  <c:v>1559982</c:v>
                </c:pt>
                <c:pt idx="34">
                  <c:v>1652295</c:v>
                </c:pt>
                <c:pt idx="35">
                  <c:v>1980362</c:v>
                </c:pt>
                <c:pt idx="36">
                  <c:v>1593658</c:v>
                </c:pt>
                <c:pt idx="37">
                  <c:v>2129320</c:v>
                </c:pt>
                <c:pt idx="38">
                  <c:v>1598084</c:v>
                </c:pt>
                <c:pt idx="39">
                  <c:v>910888</c:v>
                </c:pt>
                <c:pt idx="40">
                  <c:v>704942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5A-4D9E-9191-8C41B8DA0663}"/>
            </c:ext>
          </c:extLst>
        </c:ser>
        <c:ser>
          <c:idx val="6"/>
          <c:order val="6"/>
          <c:tx>
            <c:strRef>
              <c:f>利息収入推移グラフ!$A$72</c:f>
              <c:strCache>
                <c:ptCount val="1"/>
                <c:pt idx="0">
                  <c:v>有価証券貸付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利息収入推移グラフ!$B$65:$AP$65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利息収入推移グラフ!$B$72:$AP$72</c:f>
              <c:numCache>
                <c:formatCode>#,##0_ </c:formatCode>
                <c:ptCount val="41"/>
                <c:pt idx="0">
                  <c:v>659000</c:v>
                </c:pt>
                <c:pt idx="1">
                  <c:v>0</c:v>
                </c:pt>
                <c:pt idx="2">
                  <c:v>0</c:v>
                </c:pt>
                <c:pt idx="3">
                  <c:v>126000</c:v>
                </c:pt>
                <c:pt idx="4">
                  <c:v>294000</c:v>
                </c:pt>
                <c:pt idx="5">
                  <c:v>971000</c:v>
                </c:pt>
                <c:pt idx="6">
                  <c:v>70000</c:v>
                </c:pt>
                <c:pt idx="7">
                  <c:v>15000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5A-4D9E-9191-8C41B8DA0663}"/>
            </c:ext>
          </c:extLst>
        </c:ser>
        <c:ser>
          <c:idx val="7"/>
          <c:order val="7"/>
          <c:tx>
            <c:strRef>
              <c:f>利息収入推移グラフ!$A$73</c:f>
              <c:strCache>
                <c:ptCount val="1"/>
                <c:pt idx="0">
                  <c:v>厚生貸付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利息収入推移グラフ!$B$65:$AP$65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利息収入推移グラフ!$B$73:$AP$73</c:f>
              <c:numCache>
                <c:formatCode>#,##0_ </c:formatCode>
                <c:ptCount val="41"/>
                <c:pt idx="0">
                  <c:v>0</c:v>
                </c:pt>
                <c:pt idx="1">
                  <c:v>1920000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5A-4D9E-9191-8C41B8DA0663}"/>
            </c:ext>
          </c:extLst>
        </c:ser>
        <c:ser>
          <c:idx val="8"/>
          <c:order val="8"/>
          <c:tx>
            <c:strRef>
              <c:f>利息収入推移グラフ!$A$74</c:f>
              <c:strCache>
                <c:ptCount val="1"/>
                <c:pt idx="0">
                  <c:v>動産担保貸付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利息収入推移グラフ!$B$65:$AP$65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利息収入推移グラフ!$B$74:$AP$74</c:f>
              <c:numCache>
                <c:formatCode>#,##0_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5A-4D9E-9191-8C41B8DA0663}"/>
            </c:ext>
          </c:extLst>
        </c:ser>
        <c:ser>
          <c:idx val="9"/>
          <c:order val="9"/>
          <c:tx>
            <c:strRef>
              <c:f>利息収入推移グラフ!$A$75</c:f>
              <c:strCache>
                <c:ptCount val="1"/>
                <c:pt idx="0">
                  <c:v>会員厚生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利息収入推移グラフ!$B$65:$AP$65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利息収入推移グラフ!$B$75:$AP$75</c:f>
              <c:numCache>
                <c:formatCode>#,##0_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1640000</c:v>
                </c:pt>
                <c:pt idx="8">
                  <c:v>1927819</c:v>
                </c:pt>
                <c:pt idx="9">
                  <c:v>2683860</c:v>
                </c:pt>
                <c:pt idx="10">
                  <c:v>3666357</c:v>
                </c:pt>
                <c:pt idx="11">
                  <c:v>3781476</c:v>
                </c:pt>
                <c:pt idx="12">
                  <c:v>5002525</c:v>
                </c:pt>
                <c:pt idx="13">
                  <c:v>5644132</c:v>
                </c:pt>
                <c:pt idx="14">
                  <c:v>4562482</c:v>
                </c:pt>
                <c:pt idx="15">
                  <c:v>3772705</c:v>
                </c:pt>
                <c:pt idx="16">
                  <c:v>3497236</c:v>
                </c:pt>
                <c:pt idx="17">
                  <c:v>5379256</c:v>
                </c:pt>
                <c:pt idx="18">
                  <c:v>4496364</c:v>
                </c:pt>
                <c:pt idx="19">
                  <c:v>1850428</c:v>
                </c:pt>
                <c:pt idx="20">
                  <c:v>304539</c:v>
                </c:pt>
                <c:pt idx="21">
                  <c:v>265361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B5A-4D9E-9191-8C41B8DA0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832912"/>
        <c:axId val="525827336"/>
      </c:barChart>
      <c:catAx>
        <c:axId val="52583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5827336"/>
        <c:crosses val="autoZero"/>
        <c:auto val="1"/>
        <c:lblAlgn val="ctr"/>
        <c:lblOffset val="100"/>
        <c:noMultiLvlLbl val="0"/>
      </c:catAx>
      <c:valAx>
        <c:axId val="52582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583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ローン種類別利息収入額（単位：円）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利息収入推移グラフ!$A$79</c:f>
              <c:strCache>
                <c:ptCount val="1"/>
                <c:pt idx="0">
                  <c:v>スイッチローン・生活再建資金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利息収入推移グラフ!$B$78:$AP$78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利息収入推移グラフ!$B$79:$AP$79</c:f>
              <c:numCache>
                <c:formatCode>#,##0_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279898132</c:v>
                </c:pt>
                <c:pt idx="21">
                  <c:v>297369087</c:v>
                </c:pt>
                <c:pt idx="22">
                  <c:v>348488129</c:v>
                </c:pt>
                <c:pt idx="23">
                  <c:v>411242801</c:v>
                </c:pt>
                <c:pt idx="24">
                  <c:v>468059169</c:v>
                </c:pt>
                <c:pt idx="25">
                  <c:v>526817236</c:v>
                </c:pt>
                <c:pt idx="26">
                  <c:v>555509204</c:v>
                </c:pt>
                <c:pt idx="27">
                  <c:v>561623033</c:v>
                </c:pt>
                <c:pt idx="28">
                  <c:v>537932104</c:v>
                </c:pt>
                <c:pt idx="29">
                  <c:v>508732528</c:v>
                </c:pt>
                <c:pt idx="30">
                  <c:v>461256939</c:v>
                </c:pt>
                <c:pt idx="31">
                  <c:v>389705667</c:v>
                </c:pt>
                <c:pt idx="32">
                  <c:v>331438763</c:v>
                </c:pt>
                <c:pt idx="33">
                  <c:v>292585949</c:v>
                </c:pt>
                <c:pt idx="34">
                  <c:v>275289808</c:v>
                </c:pt>
                <c:pt idx="35">
                  <c:v>228021310</c:v>
                </c:pt>
                <c:pt idx="36">
                  <c:v>196948015</c:v>
                </c:pt>
                <c:pt idx="37">
                  <c:v>169262431</c:v>
                </c:pt>
                <c:pt idx="38">
                  <c:v>145112708</c:v>
                </c:pt>
                <c:pt idx="39">
                  <c:v>122781433</c:v>
                </c:pt>
                <c:pt idx="40">
                  <c:v>109540085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3-44D9-8805-E3E298195E27}"/>
            </c:ext>
          </c:extLst>
        </c:ser>
        <c:ser>
          <c:idx val="1"/>
          <c:order val="1"/>
          <c:tx>
            <c:strRef>
              <c:f>利息収入推移グラフ!$A$80</c:f>
              <c:strCache>
                <c:ptCount val="1"/>
                <c:pt idx="0">
                  <c:v>共済会関連貸付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利息収入推移グラフ!$B$78:$AP$78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利息収入推移グラフ!$B$80:$AP$80</c:f>
              <c:numCache>
                <c:formatCode>#,##0_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966000</c:v>
                </c:pt>
                <c:pt idx="3">
                  <c:v>136000</c:v>
                </c:pt>
                <c:pt idx="4">
                  <c:v>175000</c:v>
                </c:pt>
                <c:pt idx="5">
                  <c:v>247000</c:v>
                </c:pt>
                <c:pt idx="6">
                  <c:v>366000</c:v>
                </c:pt>
                <c:pt idx="7">
                  <c:v>9370000</c:v>
                </c:pt>
                <c:pt idx="8">
                  <c:v>12544613</c:v>
                </c:pt>
                <c:pt idx="9">
                  <c:v>30746657</c:v>
                </c:pt>
                <c:pt idx="10">
                  <c:v>56819347</c:v>
                </c:pt>
                <c:pt idx="11">
                  <c:v>61680574</c:v>
                </c:pt>
                <c:pt idx="12">
                  <c:v>65393063</c:v>
                </c:pt>
                <c:pt idx="13">
                  <c:v>69117804</c:v>
                </c:pt>
                <c:pt idx="14">
                  <c:v>65139269</c:v>
                </c:pt>
                <c:pt idx="15">
                  <c:v>54407181</c:v>
                </c:pt>
                <c:pt idx="16">
                  <c:v>45006275</c:v>
                </c:pt>
                <c:pt idx="17">
                  <c:v>37941381</c:v>
                </c:pt>
                <c:pt idx="18">
                  <c:v>30363431</c:v>
                </c:pt>
                <c:pt idx="19">
                  <c:v>30976790</c:v>
                </c:pt>
                <c:pt idx="20">
                  <c:v>10728240</c:v>
                </c:pt>
                <c:pt idx="21">
                  <c:v>7866202</c:v>
                </c:pt>
                <c:pt idx="22">
                  <c:v>6347356</c:v>
                </c:pt>
                <c:pt idx="23">
                  <c:v>5662893</c:v>
                </c:pt>
                <c:pt idx="24">
                  <c:v>4796781</c:v>
                </c:pt>
                <c:pt idx="25">
                  <c:v>3928497</c:v>
                </c:pt>
                <c:pt idx="26">
                  <c:v>3072191</c:v>
                </c:pt>
                <c:pt idx="27">
                  <c:v>2794450</c:v>
                </c:pt>
                <c:pt idx="28">
                  <c:v>2688272</c:v>
                </c:pt>
                <c:pt idx="29">
                  <c:v>2490824</c:v>
                </c:pt>
                <c:pt idx="30">
                  <c:v>2273991</c:v>
                </c:pt>
                <c:pt idx="31">
                  <c:v>1649459</c:v>
                </c:pt>
                <c:pt idx="32">
                  <c:v>1652194</c:v>
                </c:pt>
                <c:pt idx="33">
                  <c:v>1368933</c:v>
                </c:pt>
                <c:pt idx="34">
                  <c:v>1071311</c:v>
                </c:pt>
                <c:pt idx="35">
                  <c:v>842086</c:v>
                </c:pt>
                <c:pt idx="36">
                  <c:v>547958</c:v>
                </c:pt>
                <c:pt idx="37">
                  <c:v>460685</c:v>
                </c:pt>
                <c:pt idx="38">
                  <c:v>354662</c:v>
                </c:pt>
                <c:pt idx="39">
                  <c:v>297228</c:v>
                </c:pt>
                <c:pt idx="40">
                  <c:v>193960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23-44D9-8805-E3E298195E27}"/>
            </c:ext>
          </c:extLst>
        </c:ser>
        <c:ser>
          <c:idx val="2"/>
          <c:order val="2"/>
          <c:tx>
            <c:strRef>
              <c:f>利息収入推移グラフ!$A$81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利息収入推移グラフ!$B$78:$AP$78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利息収入推移グラフ!$B$81:$AP$81</c:f>
              <c:numCache>
                <c:formatCode>#,##0_ </c:formatCode>
                <c:ptCount val="41"/>
                <c:pt idx="0">
                  <c:v>6973026</c:v>
                </c:pt>
                <c:pt idx="1">
                  <c:v>10440000</c:v>
                </c:pt>
                <c:pt idx="2">
                  <c:v>14198000</c:v>
                </c:pt>
                <c:pt idx="3">
                  <c:v>8899000</c:v>
                </c:pt>
                <c:pt idx="4">
                  <c:v>9481000</c:v>
                </c:pt>
                <c:pt idx="5">
                  <c:v>16771000</c:v>
                </c:pt>
                <c:pt idx="6">
                  <c:v>28923000</c:v>
                </c:pt>
                <c:pt idx="7">
                  <c:v>83067000</c:v>
                </c:pt>
                <c:pt idx="8">
                  <c:v>70396040</c:v>
                </c:pt>
                <c:pt idx="9">
                  <c:v>64463260</c:v>
                </c:pt>
                <c:pt idx="10">
                  <c:v>64757001</c:v>
                </c:pt>
                <c:pt idx="11">
                  <c:v>79155930</c:v>
                </c:pt>
                <c:pt idx="12">
                  <c:v>111054678</c:v>
                </c:pt>
                <c:pt idx="13">
                  <c:v>119983225</c:v>
                </c:pt>
                <c:pt idx="14">
                  <c:v>163338264</c:v>
                </c:pt>
                <c:pt idx="15">
                  <c:v>213970763</c:v>
                </c:pt>
                <c:pt idx="16">
                  <c:v>261467620</c:v>
                </c:pt>
                <c:pt idx="17">
                  <c:v>304071038</c:v>
                </c:pt>
                <c:pt idx="18">
                  <c:v>319864123</c:v>
                </c:pt>
                <c:pt idx="19">
                  <c:v>380107152</c:v>
                </c:pt>
                <c:pt idx="20">
                  <c:v>143979397</c:v>
                </c:pt>
                <c:pt idx="21">
                  <c:v>141347251</c:v>
                </c:pt>
                <c:pt idx="22">
                  <c:v>145160763</c:v>
                </c:pt>
                <c:pt idx="23">
                  <c:v>146873192</c:v>
                </c:pt>
                <c:pt idx="24">
                  <c:v>153595304</c:v>
                </c:pt>
                <c:pt idx="25">
                  <c:v>151070199</c:v>
                </c:pt>
                <c:pt idx="26">
                  <c:v>169094433</c:v>
                </c:pt>
                <c:pt idx="27">
                  <c:v>183335994</c:v>
                </c:pt>
                <c:pt idx="28">
                  <c:v>183154847</c:v>
                </c:pt>
                <c:pt idx="29">
                  <c:v>153610303</c:v>
                </c:pt>
                <c:pt idx="30">
                  <c:v>139039905</c:v>
                </c:pt>
                <c:pt idx="31">
                  <c:v>133720773</c:v>
                </c:pt>
                <c:pt idx="32">
                  <c:v>108944017</c:v>
                </c:pt>
                <c:pt idx="33">
                  <c:v>117996782</c:v>
                </c:pt>
                <c:pt idx="34">
                  <c:v>107883511</c:v>
                </c:pt>
                <c:pt idx="35">
                  <c:v>100964121</c:v>
                </c:pt>
                <c:pt idx="36">
                  <c:v>100284168</c:v>
                </c:pt>
                <c:pt idx="37">
                  <c:v>88677147</c:v>
                </c:pt>
                <c:pt idx="38">
                  <c:v>81371397</c:v>
                </c:pt>
                <c:pt idx="39">
                  <c:v>70669315</c:v>
                </c:pt>
                <c:pt idx="40">
                  <c:v>58862579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23-44D9-8805-E3E298195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4806760"/>
        <c:axId val="1054799872"/>
      </c:barChart>
      <c:catAx>
        <c:axId val="105480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4799872"/>
        <c:crosses val="autoZero"/>
        <c:auto val="1"/>
        <c:lblAlgn val="ctr"/>
        <c:lblOffset val="100"/>
        <c:noMultiLvlLbl val="0"/>
      </c:catAx>
      <c:valAx>
        <c:axId val="105479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4806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ローン種類別　利息収入額割合（単位：％）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利息収入推移グラフ!$A$66</c:f>
              <c:strCache>
                <c:ptCount val="1"/>
                <c:pt idx="0">
                  <c:v>無担保ローン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利息収入推移グラフ!$B$65:$AP$65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利息収入推移グラフ!$B$66:$AP$66</c:f>
              <c:numCache>
                <c:formatCode>#,##0_ </c:formatCode>
                <c:ptCount val="41"/>
                <c:pt idx="0">
                  <c:v>410026</c:v>
                </c:pt>
                <c:pt idx="1">
                  <c:v>2400000</c:v>
                </c:pt>
                <c:pt idx="2">
                  <c:v>540000</c:v>
                </c:pt>
                <c:pt idx="3">
                  <c:v>527000</c:v>
                </c:pt>
                <c:pt idx="4">
                  <c:v>416000</c:v>
                </c:pt>
                <c:pt idx="5">
                  <c:v>1516000</c:v>
                </c:pt>
                <c:pt idx="6">
                  <c:v>3969000</c:v>
                </c:pt>
                <c:pt idx="7">
                  <c:v>18050000</c:v>
                </c:pt>
                <c:pt idx="8">
                  <c:v>14229823</c:v>
                </c:pt>
                <c:pt idx="9">
                  <c:v>13191004</c:v>
                </c:pt>
                <c:pt idx="10">
                  <c:v>9777901</c:v>
                </c:pt>
                <c:pt idx="11">
                  <c:v>13274633</c:v>
                </c:pt>
                <c:pt idx="12">
                  <c:v>27306604</c:v>
                </c:pt>
                <c:pt idx="13">
                  <c:v>53071872</c:v>
                </c:pt>
                <c:pt idx="14">
                  <c:v>98609395</c:v>
                </c:pt>
                <c:pt idx="15">
                  <c:v>141979414</c:v>
                </c:pt>
                <c:pt idx="16">
                  <c:v>172471445</c:v>
                </c:pt>
                <c:pt idx="17">
                  <c:v>198919443</c:v>
                </c:pt>
                <c:pt idx="18">
                  <c:v>224995594</c:v>
                </c:pt>
                <c:pt idx="19">
                  <c:v>274871952</c:v>
                </c:pt>
                <c:pt idx="20">
                  <c:v>300941568</c:v>
                </c:pt>
                <c:pt idx="21">
                  <c:v>319532962</c:v>
                </c:pt>
                <c:pt idx="22">
                  <c:v>373607769</c:v>
                </c:pt>
                <c:pt idx="23">
                  <c:v>439406450</c:v>
                </c:pt>
                <c:pt idx="24">
                  <c:v>507237804</c:v>
                </c:pt>
                <c:pt idx="25">
                  <c:v>571382596</c:v>
                </c:pt>
                <c:pt idx="26">
                  <c:v>601001328</c:v>
                </c:pt>
                <c:pt idx="27">
                  <c:v>605443270</c:v>
                </c:pt>
                <c:pt idx="28">
                  <c:v>576126751</c:v>
                </c:pt>
                <c:pt idx="29">
                  <c:v>538276228</c:v>
                </c:pt>
                <c:pt idx="30">
                  <c:v>480817670</c:v>
                </c:pt>
                <c:pt idx="31">
                  <c:v>402371628</c:v>
                </c:pt>
                <c:pt idx="32">
                  <c:v>339296742</c:v>
                </c:pt>
                <c:pt idx="33">
                  <c:v>297121261</c:v>
                </c:pt>
                <c:pt idx="34">
                  <c:v>279959333</c:v>
                </c:pt>
                <c:pt idx="35">
                  <c:v>230536873</c:v>
                </c:pt>
                <c:pt idx="36">
                  <c:v>198394773</c:v>
                </c:pt>
                <c:pt idx="37">
                  <c:v>170161742</c:v>
                </c:pt>
                <c:pt idx="38">
                  <c:v>145702971</c:v>
                </c:pt>
                <c:pt idx="39">
                  <c:v>123160091</c:v>
                </c:pt>
                <c:pt idx="40">
                  <c:v>109797311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6-4EC9-B4F5-B97E60143656}"/>
            </c:ext>
          </c:extLst>
        </c:ser>
        <c:ser>
          <c:idx val="1"/>
          <c:order val="1"/>
          <c:tx>
            <c:strRef>
              <c:f>利息収入推移グラフ!$A$67</c:f>
              <c:strCache>
                <c:ptCount val="1"/>
                <c:pt idx="0">
                  <c:v>オートローン等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利息収入推移グラフ!$B$65:$AP$65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利息収入推移グラフ!$B$67:$AP$67</c:f>
              <c:numCache>
                <c:formatCode>#,##0_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3273000</c:v>
                </c:pt>
                <c:pt idx="3">
                  <c:v>2566000</c:v>
                </c:pt>
                <c:pt idx="4">
                  <c:v>1941000</c:v>
                </c:pt>
                <c:pt idx="5">
                  <c:v>3204000</c:v>
                </c:pt>
                <c:pt idx="6">
                  <c:v>3922000</c:v>
                </c:pt>
                <c:pt idx="7">
                  <c:v>21328000</c:v>
                </c:pt>
                <c:pt idx="8">
                  <c:v>26503090</c:v>
                </c:pt>
                <c:pt idx="9">
                  <c:v>30695724</c:v>
                </c:pt>
                <c:pt idx="10">
                  <c:v>36567128</c:v>
                </c:pt>
                <c:pt idx="11">
                  <c:v>47543233</c:v>
                </c:pt>
                <c:pt idx="12">
                  <c:v>57072371</c:v>
                </c:pt>
                <c:pt idx="13">
                  <c:v>39842563</c:v>
                </c:pt>
                <c:pt idx="14">
                  <c:v>30546114</c:v>
                </c:pt>
                <c:pt idx="15">
                  <c:v>22212506</c:v>
                </c:pt>
                <c:pt idx="16">
                  <c:v>22265543</c:v>
                </c:pt>
                <c:pt idx="17">
                  <c:v>15500300</c:v>
                </c:pt>
                <c:pt idx="18">
                  <c:v>13449116</c:v>
                </c:pt>
                <c:pt idx="19">
                  <c:v>10871109</c:v>
                </c:pt>
                <c:pt idx="20">
                  <c:v>11655412</c:v>
                </c:pt>
                <c:pt idx="21">
                  <c:v>7255321</c:v>
                </c:pt>
                <c:pt idx="22">
                  <c:v>6289365</c:v>
                </c:pt>
                <c:pt idx="23">
                  <c:v>5392460</c:v>
                </c:pt>
                <c:pt idx="24">
                  <c:v>4770428</c:v>
                </c:pt>
                <c:pt idx="25">
                  <c:v>3944719</c:v>
                </c:pt>
                <c:pt idx="26">
                  <c:v>2726824</c:v>
                </c:pt>
                <c:pt idx="27">
                  <c:v>4847784</c:v>
                </c:pt>
                <c:pt idx="28">
                  <c:v>5908741</c:v>
                </c:pt>
                <c:pt idx="29">
                  <c:v>12045917</c:v>
                </c:pt>
                <c:pt idx="30">
                  <c:v>22074368</c:v>
                </c:pt>
                <c:pt idx="31">
                  <c:v>27081819</c:v>
                </c:pt>
                <c:pt idx="32">
                  <c:v>25809971</c:v>
                </c:pt>
                <c:pt idx="33">
                  <c:v>24957743</c:v>
                </c:pt>
                <c:pt idx="34">
                  <c:v>27577942</c:v>
                </c:pt>
                <c:pt idx="35">
                  <c:v>26600347</c:v>
                </c:pt>
                <c:pt idx="36">
                  <c:v>26179150</c:v>
                </c:pt>
                <c:pt idx="37">
                  <c:v>25130497</c:v>
                </c:pt>
                <c:pt idx="38">
                  <c:v>23048423</c:v>
                </c:pt>
                <c:pt idx="39">
                  <c:v>18921535</c:v>
                </c:pt>
                <c:pt idx="40">
                  <c:v>16838857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96-4EC9-B4F5-B97E60143656}"/>
            </c:ext>
          </c:extLst>
        </c:ser>
        <c:ser>
          <c:idx val="2"/>
          <c:order val="2"/>
          <c:tx>
            <c:strRef>
              <c:f>利息収入推移グラフ!$A$68</c:f>
              <c:strCache>
                <c:ptCount val="1"/>
                <c:pt idx="0">
                  <c:v>不動産ローン等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利息収入推移グラフ!$B$65:$AP$65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利息収入推移グラフ!$B$68:$AP$68</c:f>
              <c:numCache>
                <c:formatCode>#,##0_ </c:formatCode>
                <c:ptCount val="41"/>
                <c:pt idx="0">
                  <c:v>5883000</c:v>
                </c:pt>
                <c:pt idx="1">
                  <c:v>3000000</c:v>
                </c:pt>
                <c:pt idx="2">
                  <c:v>2825000</c:v>
                </c:pt>
                <c:pt idx="3">
                  <c:v>2073000</c:v>
                </c:pt>
                <c:pt idx="4">
                  <c:v>6522000</c:v>
                </c:pt>
                <c:pt idx="5">
                  <c:v>9434000</c:v>
                </c:pt>
                <c:pt idx="6">
                  <c:v>20586000</c:v>
                </c:pt>
                <c:pt idx="7">
                  <c:v>42034000</c:v>
                </c:pt>
                <c:pt idx="8">
                  <c:v>27735308</c:v>
                </c:pt>
                <c:pt idx="9">
                  <c:v>17892672</c:v>
                </c:pt>
                <c:pt idx="10">
                  <c:v>14745615</c:v>
                </c:pt>
                <c:pt idx="11">
                  <c:v>14556588</c:v>
                </c:pt>
                <c:pt idx="12">
                  <c:v>21673178</c:v>
                </c:pt>
                <c:pt idx="13">
                  <c:v>21424658</c:v>
                </c:pt>
                <c:pt idx="14">
                  <c:v>29620273</c:v>
                </c:pt>
                <c:pt idx="15">
                  <c:v>46006138</c:v>
                </c:pt>
                <c:pt idx="16">
                  <c:v>63233396</c:v>
                </c:pt>
                <c:pt idx="17">
                  <c:v>84272039</c:v>
                </c:pt>
                <c:pt idx="18">
                  <c:v>76923049</c:v>
                </c:pt>
                <c:pt idx="19">
                  <c:v>92513663</c:v>
                </c:pt>
                <c:pt idx="20">
                  <c:v>92551602</c:v>
                </c:pt>
                <c:pt idx="21">
                  <c:v>93128871</c:v>
                </c:pt>
                <c:pt idx="22">
                  <c:v>92905927</c:v>
                </c:pt>
                <c:pt idx="23">
                  <c:v>92683033</c:v>
                </c:pt>
                <c:pt idx="24">
                  <c:v>90277973</c:v>
                </c:pt>
                <c:pt idx="25">
                  <c:v>83665675</c:v>
                </c:pt>
                <c:pt idx="26">
                  <c:v>101622400</c:v>
                </c:pt>
                <c:pt idx="27">
                  <c:v>114715143</c:v>
                </c:pt>
                <c:pt idx="28">
                  <c:v>117632947</c:v>
                </c:pt>
                <c:pt idx="29">
                  <c:v>87941401</c:v>
                </c:pt>
                <c:pt idx="30">
                  <c:v>71739930</c:v>
                </c:pt>
                <c:pt idx="31">
                  <c:v>71392415</c:v>
                </c:pt>
                <c:pt idx="32">
                  <c:v>47911178</c:v>
                </c:pt>
                <c:pt idx="33">
                  <c:v>54632438</c:v>
                </c:pt>
                <c:pt idx="34">
                  <c:v>37008236</c:v>
                </c:pt>
                <c:pt idx="35">
                  <c:v>30743068</c:v>
                </c:pt>
                <c:pt idx="36">
                  <c:v>32102206</c:v>
                </c:pt>
                <c:pt idx="37">
                  <c:v>24527059</c:v>
                </c:pt>
                <c:pt idx="38">
                  <c:v>23493278</c:v>
                </c:pt>
                <c:pt idx="39">
                  <c:v>23696809</c:v>
                </c:pt>
                <c:pt idx="40">
                  <c:v>18123545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96-4EC9-B4F5-B97E60143656}"/>
            </c:ext>
          </c:extLst>
        </c:ser>
        <c:ser>
          <c:idx val="3"/>
          <c:order val="3"/>
          <c:tx>
            <c:strRef>
              <c:f>利息収入推移グラフ!$A$69</c:f>
              <c:strCache>
                <c:ptCount val="1"/>
                <c:pt idx="0">
                  <c:v>火災共済貸付等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利息収入推移グラフ!$B$65:$AP$65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利息収入推移グラフ!$B$69:$AP$69</c:f>
              <c:numCache>
                <c:formatCode>#,##0_ </c:formatCode>
                <c:ptCount val="41"/>
                <c:pt idx="0">
                  <c:v>21000</c:v>
                </c:pt>
                <c:pt idx="1">
                  <c:v>3120000</c:v>
                </c:pt>
                <c:pt idx="2">
                  <c:v>8526000</c:v>
                </c:pt>
                <c:pt idx="3">
                  <c:v>3743000</c:v>
                </c:pt>
                <c:pt idx="4">
                  <c:v>483000</c:v>
                </c:pt>
                <c:pt idx="5">
                  <c:v>1893000</c:v>
                </c:pt>
                <c:pt idx="6">
                  <c:v>742000</c:v>
                </c:pt>
                <c:pt idx="7">
                  <c:v>5898000</c:v>
                </c:pt>
                <c:pt idx="8">
                  <c:v>9334273</c:v>
                </c:pt>
                <c:pt idx="9">
                  <c:v>14524639</c:v>
                </c:pt>
                <c:pt idx="10">
                  <c:v>25857666</c:v>
                </c:pt>
                <c:pt idx="11">
                  <c:v>31913924</c:v>
                </c:pt>
                <c:pt idx="12">
                  <c:v>33989988</c:v>
                </c:pt>
                <c:pt idx="13">
                  <c:v>35045755</c:v>
                </c:pt>
                <c:pt idx="14">
                  <c:v>32719957</c:v>
                </c:pt>
                <c:pt idx="15">
                  <c:v>26866741</c:v>
                </c:pt>
                <c:pt idx="16">
                  <c:v>20621710</c:v>
                </c:pt>
                <c:pt idx="17">
                  <c:v>18988968</c:v>
                </c:pt>
                <c:pt idx="18">
                  <c:v>16253146</c:v>
                </c:pt>
                <c:pt idx="19">
                  <c:v>17742035</c:v>
                </c:pt>
                <c:pt idx="20">
                  <c:v>18424408</c:v>
                </c:pt>
                <c:pt idx="21">
                  <c:v>18533823</c:v>
                </c:pt>
                <c:pt idx="22">
                  <c:v>20845831</c:v>
                </c:pt>
                <c:pt idx="23">
                  <c:v>20634050</c:v>
                </c:pt>
                <c:pt idx="24">
                  <c:v>19368268</c:v>
                </c:pt>
                <c:pt idx="25">
                  <c:v>18894445</c:v>
                </c:pt>
                <c:pt idx="26">
                  <c:v>19253085</c:v>
                </c:pt>
                <c:pt idx="27">
                  <c:v>19952830</c:v>
                </c:pt>
                <c:pt idx="28">
                  <c:v>21418512</c:v>
                </c:pt>
                <c:pt idx="29">
                  <c:v>24079285</c:v>
                </c:pt>
                <c:pt idx="30">
                  <c:v>25609193</c:v>
                </c:pt>
                <c:pt idx="31">
                  <c:v>21517731</c:v>
                </c:pt>
                <c:pt idx="32">
                  <c:v>25804907</c:v>
                </c:pt>
                <c:pt idx="33">
                  <c:v>32311307</c:v>
                </c:pt>
                <c:pt idx="34">
                  <c:v>36975513</c:v>
                </c:pt>
                <c:pt idx="35">
                  <c:v>39124781</c:v>
                </c:pt>
                <c:pt idx="36">
                  <c:v>38962396</c:v>
                </c:pt>
                <c:pt idx="37">
                  <c:v>35990960</c:v>
                </c:pt>
                <c:pt idx="38">
                  <c:v>32641349</c:v>
                </c:pt>
                <c:pt idx="39">
                  <c:v>26761425</c:v>
                </c:pt>
                <c:pt idx="40">
                  <c:v>22938009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96-4EC9-B4F5-B97E60143656}"/>
            </c:ext>
          </c:extLst>
        </c:ser>
        <c:ser>
          <c:idx val="4"/>
          <c:order val="4"/>
          <c:tx>
            <c:strRef>
              <c:f>利息収入推移グラフ!$A$70</c:f>
              <c:strCache>
                <c:ptCount val="1"/>
                <c:pt idx="0">
                  <c:v>共済会ローン等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利息収入推移グラフ!$B$65:$AP$65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利息収入推移グラフ!$B$70:$AP$70</c:f>
              <c:numCache>
                <c:formatCode>#,##0_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3472000</c:v>
                </c:pt>
                <c:pt idx="8">
                  <c:v>3210340</c:v>
                </c:pt>
                <c:pt idx="9">
                  <c:v>16222018</c:v>
                </c:pt>
                <c:pt idx="10">
                  <c:v>30961681</c:v>
                </c:pt>
                <c:pt idx="11">
                  <c:v>29766650</c:v>
                </c:pt>
                <c:pt idx="12">
                  <c:v>31403075</c:v>
                </c:pt>
                <c:pt idx="13">
                  <c:v>34072049</c:v>
                </c:pt>
                <c:pt idx="14">
                  <c:v>32419312</c:v>
                </c:pt>
                <c:pt idx="15">
                  <c:v>27540440</c:v>
                </c:pt>
                <c:pt idx="16">
                  <c:v>24384565</c:v>
                </c:pt>
                <c:pt idx="17">
                  <c:v>18952413</c:v>
                </c:pt>
                <c:pt idx="18">
                  <c:v>14110285</c:v>
                </c:pt>
                <c:pt idx="19">
                  <c:v>13234755</c:v>
                </c:pt>
                <c:pt idx="20">
                  <c:v>10728240</c:v>
                </c:pt>
                <c:pt idx="21">
                  <c:v>7866202</c:v>
                </c:pt>
                <c:pt idx="22">
                  <c:v>6347356</c:v>
                </c:pt>
                <c:pt idx="23">
                  <c:v>5662893</c:v>
                </c:pt>
                <c:pt idx="24">
                  <c:v>4796781</c:v>
                </c:pt>
                <c:pt idx="25">
                  <c:v>3928497</c:v>
                </c:pt>
                <c:pt idx="26">
                  <c:v>3072191</c:v>
                </c:pt>
                <c:pt idx="27">
                  <c:v>2794450</c:v>
                </c:pt>
                <c:pt idx="28">
                  <c:v>2688272</c:v>
                </c:pt>
                <c:pt idx="29">
                  <c:v>2490824</c:v>
                </c:pt>
                <c:pt idx="30">
                  <c:v>2273991</c:v>
                </c:pt>
                <c:pt idx="31">
                  <c:v>1649459</c:v>
                </c:pt>
                <c:pt idx="32">
                  <c:v>1652194</c:v>
                </c:pt>
                <c:pt idx="33">
                  <c:v>1368933</c:v>
                </c:pt>
                <c:pt idx="34">
                  <c:v>1071311</c:v>
                </c:pt>
                <c:pt idx="35">
                  <c:v>842086</c:v>
                </c:pt>
                <c:pt idx="36">
                  <c:v>547958</c:v>
                </c:pt>
                <c:pt idx="37">
                  <c:v>460685</c:v>
                </c:pt>
                <c:pt idx="38">
                  <c:v>354662</c:v>
                </c:pt>
                <c:pt idx="39">
                  <c:v>297228</c:v>
                </c:pt>
                <c:pt idx="40">
                  <c:v>193960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96-4EC9-B4F5-B97E60143656}"/>
            </c:ext>
          </c:extLst>
        </c:ser>
        <c:ser>
          <c:idx val="5"/>
          <c:order val="5"/>
          <c:tx>
            <c:strRef>
              <c:f>利息収入推移グラフ!$A$71</c:f>
              <c:strCache>
                <c:ptCount val="1"/>
                <c:pt idx="0">
                  <c:v>生活支援ローン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利息収入推移グラフ!$B$65:$AP$65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利息収入推移グラフ!$B$71:$AP$71</c:f>
              <c:numCache>
                <c:formatCode>#,##0_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55683</c:v>
                </c:pt>
                <c:pt idx="31">
                  <c:v>1062847</c:v>
                </c:pt>
                <c:pt idx="32">
                  <c:v>1559982</c:v>
                </c:pt>
                <c:pt idx="33">
                  <c:v>1559982</c:v>
                </c:pt>
                <c:pt idx="34">
                  <c:v>1652295</c:v>
                </c:pt>
                <c:pt idx="35">
                  <c:v>1980362</c:v>
                </c:pt>
                <c:pt idx="36">
                  <c:v>1593658</c:v>
                </c:pt>
                <c:pt idx="37">
                  <c:v>2129320</c:v>
                </c:pt>
                <c:pt idx="38">
                  <c:v>1598084</c:v>
                </c:pt>
                <c:pt idx="39">
                  <c:v>910888</c:v>
                </c:pt>
                <c:pt idx="40">
                  <c:v>704942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96-4EC9-B4F5-B97E60143656}"/>
            </c:ext>
          </c:extLst>
        </c:ser>
        <c:ser>
          <c:idx val="6"/>
          <c:order val="6"/>
          <c:tx>
            <c:strRef>
              <c:f>利息収入推移グラフ!$A$72</c:f>
              <c:strCache>
                <c:ptCount val="1"/>
                <c:pt idx="0">
                  <c:v>有価証券貸付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利息収入推移グラフ!$B$65:$AP$65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利息収入推移グラフ!$B$72:$AP$72</c:f>
              <c:numCache>
                <c:formatCode>#,##0_ </c:formatCode>
                <c:ptCount val="41"/>
                <c:pt idx="0">
                  <c:v>659000</c:v>
                </c:pt>
                <c:pt idx="1">
                  <c:v>0</c:v>
                </c:pt>
                <c:pt idx="2">
                  <c:v>0</c:v>
                </c:pt>
                <c:pt idx="3">
                  <c:v>126000</c:v>
                </c:pt>
                <c:pt idx="4">
                  <c:v>294000</c:v>
                </c:pt>
                <c:pt idx="5">
                  <c:v>971000</c:v>
                </c:pt>
                <c:pt idx="6">
                  <c:v>70000</c:v>
                </c:pt>
                <c:pt idx="7">
                  <c:v>15000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96-4EC9-B4F5-B97E60143656}"/>
            </c:ext>
          </c:extLst>
        </c:ser>
        <c:ser>
          <c:idx val="7"/>
          <c:order val="7"/>
          <c:tx>
            <c:strRef>
              <c:f>利息収入推移グラフ!$A$73</c:f>
              <c:strCache>
                <c:ptCount val="1"/>
                <c:pt idx="0">
                  <c:v>厚生貸付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利息収入推移グラフ!$B$65:$AP$65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利息収入推移グラフ!$B$73:$AP$73</c:f>
              <c:numCache>
                <c:formatCode>#,##0_ </c:formatCode>
                <c:ptCount val="41"/>
                <c:pt idx="0">
                  <c:v>0</c:v>
                </c:pt>
                <c:pt idx="1">
                  <c:v>1920000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96-4EC9-B4F5-B97E60143656}"/>
            </c:ext>
          </c:extLst>
        </c:ser>
        <c:ser>
          <c:idx val="8"/>
          <c:order val="8"/>
          <c:tx>
            <c:strRef>
              <c:f>利息収入推移グラフ!$A$74</c:f>
              <c:strCache>
                <c:ptCount val="1"/>
                <c:pt idx="0">
                  <c:v>動産担保貸付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利息収入推移グラフ!$B$65:$AP$65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利息収入推移グラフ!$B$74:$AP$74</c:f>
              <c:numCache>
                <c:formatCode>#,##0_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96-4EC9-B4F5-B97E60143656}"/>
            </c:ext>
          </c:extLst>
        </c:ser>
        <c:ser>
          <c:idx val="9"/>
          <c:order val="9"/>
          <c:tx>
            <c:strRef>
              <c:f>利息収入推移グラフ!$A$75</c:f>
              <c:strCache>
                <c:ptCount val="1"/>
                <c:pt idx="0">
                  <c:v>会員厚生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利息収入推移グラフ!$B$65:$AP$65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利息収入推移グラフ!$B$75:$AP$75</c:f>
              <c:numCache>
                <c:formatCode>#,##0_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1640000</c:v>
                </c:pt>
                <c:pt idx="8">
                  <c:v>1927819</c:v>
                </c:pt>
                <c:pt idx="9">
                  <c:v>2683860</c:v>
                </c:pt>
                <c:pt idx="10">
                  <c:v>3666357</c:v>
                </c:pt>
                <c:pt idx="11">
                  <c:v>3781476</c:v>
                </c:pt>
                <c:pt idx="12">
                  <c:v>5002525</c:v>
                </c:pt>
                <c:pt idx="13">
                  <c:v>5644132</c:v>
                </c:pt>
                <c:pt idx="14">
                  <c:v>4562482</c:v>
                </c:pt>
                <c:pt idx="15">
                  <c:v>3772705</c:v>
                </c:pt>
                <c:pt idx="16">
                  <c:v>3497236</c:v>
                </c:pt>
                <c:pt idx="17">
                  <c:v>5379256</c:v>
                </c:pt>
                <c:pt idx="18">
                  <c:v>4496364</c:v>
                </c:pt>
                <c:pt idx="19">
                  <c:v>1850428</c:v>
                </c:pt>
                <c:pt idx="20">
                  <c:v>304539</c:v>
                </c:pt>
                <c:pt idx="21">
                  <c:v>265361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96-4EC9-B4F5-B97E60143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5832912"/>
        <c:axId val="525827336"/>
      </c:barChart>
      <c:catAx>
        <c:axId val="52583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5827336"/>
        <c:crosses val="autoZero"/>
        <c:auto val="1"/>
        <c:lblAlgn val="ctr"/>
        <c:lblOffset val="100"/>
        <c:noMultiLvlLbl val="0"/>
      </c:catAx>
      <c:valAx>
        <c:axId val="52582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583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ローン種類別利息収入額割合（単位：％）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利息収入推移グラフ!$A$79</c:f>
              <c:strCache>
                <c:ptCount val="1"/>
                <c:pt idx="0">
                  <c:v>スイッチローン・生活再建資金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利息収入推移グラフ!$B$78:$AP$78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利息収入推移グラフ!$B$79:$AP$79</c:f>
              <c:numCache>
                <c:formatCode>#,##0_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279898132</c:v>
                </c:pt>
                <c:pt idx="21">
                  <c:v>297369087</c:v>
                </c:pt>
                <c:pt idx="22">
                  <c:v>348488129</c:v>
                </c:pt>
                <c:pt idx="23">
                  <c:v>411242801</c:v>
                </c:pt>
                <c:pt idx="24">
                  <c:v>468059169</c:v>
                </c:pt>
                <c:pt idx="25">
                  <c:v>526817236</c:v>
                </c:pt>
                <c:pt idx="26">
                  <c:v>555509204</c:v>
                </c:pt>
                <c:pt idx="27">
                  <c:v>561623033</c:v>
                </c:pt>
                <c:pt idx="28">
                  <c:v>537932104</c:v>
                </c:pt>
                <c:pt idx="29">
                  <c:v>508732528</c:v>
                </c:pt>
                <c:pt idx="30">
                  <c:v>461256939</c:v>
                </c:pt>
                <c:pt idx="31">
                  <c:v>389705667</c:v>
                </c:pt>
                <c:pt idx="32">
                  <c:v>331438763</c:v>
                </c:pt>
                <c:pt idx="33">
                  <c:v>292585949</c:v>
                </c:pt>
                <c:pt idx="34">
                  <c:v>275289808</c:v>
                </c:pt>
                <c:pt idx="35">
                  <c:v>228021310</c:v>
                </c:pt>
                <c:pt idx="36">
                  <c:v>196948015</c:v>
                </c:pt>
                <c:pt idx="37">
                  <c:v>169262431</c:v>
                </c:pt>
                <c:pt idx="38">
                  <c:v>145112708</c:v>
                </c:pt>
                <c:pt idx="39">
                  <c:v>122781433</c:v>
                </c:pt>
                <c:pt idx="40">
                  <c:v>109540085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3-4F18-A707-DF79D56B7F6B}"/>
            </c:ext>
          </c:extLst>
        </c:ser>
        <c:ser>
          <c:idx val="1"/>
          <c:order val="1"/>
          <c:tx>
            <c:strRef>
              <c:f>利息収入推移グラフ!$A$80</c:f>
              <c:strCache>
                <c:ptCount val="1"/>
                <c:pt idx="0">
                  <c:v>共済会関連貸付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利息収入推移グラフ!$B$78:$AP$78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利息収入推移グラフ!$B$80:$AP$80</c:f>
              <c:numCache>
                <c:formatCode>#,##0_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966000</c:v>
                </c:pt>
                <c:pt idx="3">
                  <c:v>136000</c:v>
                </c:pt>
                <c:pt idx="4">
                  <c:v>175000</c:v>
                </c:pt>
                <c:pt idx="5">
                  <c:v>247000</c:v>
                </c:pt>
                <c:pt idx="6">
                  <c:v>366000</c:v>
                </c:pt>
                <c:pt idx="7">
                  <c:v>9370000</c:v>
                </c:pt>
                <c:pt idx="8">
                  <c:v>12544613</c:v>
                </c:pt>
                <c:pt idx="9">
                  <c:v>30746657</c:v>
                </c:pt>
                <c:pt idx="10">
                  <c:v>56819347</c:v>
                </c:pt>
                <c:pt idx="11">
                  <c:v>61680574</c:v>
                </c:pt>
                <c:pt idx="12">
                  <c:v>65393063</c:v>
                </c:pt>
                <c:pt idx="13">
                  <c:v>69117804</c:v>
                </c:pt>
                <c:pt idx="14">
                  <c:v>65139269</c:v>
                </c:pt>
                <c:pt idx="15">
                  <c:v>54407181</c:v>
                </c:pt>
                <c:pt idx="16">
                  <c:v>45006275</c:v>
                </c:pt>
                <c:pt idx="17">
                  <c:v>37941381</c:v>
                </c:pt>
                <c:pt idx="18">
                  <c:v>30363431</c:v>
                </c:pt>
                <c:pt idx="19">
                  <c:v>30976790</c:v>
                </c:pt>
                <c:pt idx="20">
                  <c:v>10728240</c:v>
                </c:pt>
                <c:pt idx="21">
                  <c:v>7866202</c:v>
                </c:pt>
                <c:pt idx="22">
                  <c:v>6347356</c:v>
                </c:pt>
                <c:pt idx="23">
                  <c:v>5662893</c:v>
                </c:pt>
                <c:pt idx="24">
                  <c:v>4796781</c:v>
                </c:pt>
                <c:pt idx="25">
                  <c:v>3928497</c:v>
                </c:pt>
                <c:pt idx="26">
                  <c:v>3072191</c:v>
                </c:pt>
                <c:pt idx="27">
                  <c:v>2794450</c:v>
                </c:pt>
                <c:pt idx="28">
                  <c:v>2688272</c:v>
                </c:pt>
                <c:pt idx="29">
                  <c:v>2490824</c:v>
                </c:pt>
                <c:pt idx="30">
                  <c:v>2273991</c:v>
                </c:pt>
                <c:pt idx="31">
                  <c:v>1649459</c:v>
                </c:pt>
                <c:pt idx="32">
                  <c:v>1652194</c:v>
                </c:pt>
                <c:pt idx="33">
                  <c:v>1368933</c:v>
                </c:pt>
                <c:pt idx="34">
                  <c:v>1071311</c:v>
                </c:pt>
                <c:pt idx="35">
                  <c:v>842086</c:v>
                </c:pt>
                <c:pt idx="36">
                  <c:v>547958</c:v>
                </c:pt>
                <c:pt idx="37">
                  <c:v>460685</c:v>
                </c:pt>
                <c:pt idx="38">
                  <c:v>354662</c:v>
                </c:pt>
                <c:pt idx="39">
                  <c:v>297228</c:v>
                </c:pt>
                <c:pt idx="40">
                  <c:v>193960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33-4F18-A707-DF79D56B7F6B}"/>
            </c:ext>
          </c:extLst>
        </c:ser>
        <c:ser>
          <c:idx val="2"/>
          <c:order val="2"/>
          <c:tx>
            <c:strRef>
              <c:f>利息収入推移グラフ!$A$81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利息収入推移グラフ!$B$78:$AP$78</c:f>
              <c:strCache>
                <c:ptCount val="41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  <c:pt idx="13">
                  <c:v>平成3年度(1991)</c:v>
                </c:pt>
                <c:pt idx="14">
                  <c:v>平成4年度(1992)</c:v>
                </c:pt>
                <c:pt idx="15">
                  <c:v>平成5年度(1993)</c:v>
                </c:pt>
                <c:pt idx="16">
                  <c:v>平成6年度(1994)</c:v>
                </c:pt>
                <c:pt idx="17">
                  <c:v>平成7年度(1995)</c:v>
                </c:pt>
                <c:pt idx="18">
                  <c:v>平成8年度(1996)</c:v>
                </c:pt>
                <c:pt idx="19">
                  <c:v>平成9年度(1997)</c:v>
                </c:pt>
                <c:pt idx="20">
                  <c:v>平成10年度(1998)</c:v>
                </c:pt>
                <c:pt idx="21">
                  <c:v>平成11年度(1999)</c:v>
                </c:pt>
                <c:pt idx="22">
                  <c:v>平成12年度(2000)</c:v>
                </c:pt>
                <c:pt idx="23">
                  <c:v>平成13年度(2001)</c:v>
                </c:pt>
                <c:pt idx="24">
                  <c:v>平成14年度(2002)</c:v>
                </c:pt>
                <c:pt idx="25">
                  <c:v>平成15年(2003)</c:v>
                </c:pt>
                <c:pt idx="26">
                  <c:v>平成16年(2004)</c:v>
                </c:pt>
                <c:pt idx="27">
                  <c:v>平成17年度(2005)</c:v>
                </c:pt>
                <c:pt idx="28">
                  <c:v>平成18年度(2006)</c:v>
                </c:pt>
                <c:pt idx="29">
                  <c:v>平成19年度(2007)</c:v>
                </c:pt>
                <c:pt idx="30">
                  <c:v>平成20年度(2008)</c:v>
                </c:pt>
                <c:pt idx="31">
                  <c:v>平成21年度(2009)</c:v>
                </c:pt>
                <c:pt idx="32">
                  <c:v>平成22年度(2010)</c:v>
                </c:pt>
                <c:pt idx="33">
                  <c:v>平成23年度(2011)</c:v>
                </c:pt>
                <c:pt idx="34">
                  <c:v>平成24年度(2012)</c:v>
                </c:pt>
                <c:pt idx="35">
                  <c:v>平成25年度(2013)</c:v>
                </c:pt>
                <c:pt idx="36">
                  <c:v>平成26年度(2014)</c:v>
                </c:pt>
                <c:pt idx="37">
                  <c:v>平成27年度(2015)</c:v>
                </c:pt>
                <c:pt idx="38">
                  <c:v>平成28年度(2016)</c:v>
                </c:pt>
                <c:pt idx="39">
                  <c:v>平成29年度(2017)</c:v>
                </c:pt>
                <c:pt idx="40">
                  <c:v>平成30年度(2018)</c:v>
                </c:pt>
              </c:strCache>
            </c:strRef>
          </c:cat>
          <c:val>
            <c:numRef>
              <c:f>利息収入推移グラフ!$B$81:$AP$81</c:f>
              <c:numCache>
                <c:formatCode>#,##0_ </c:formatCode>
                <c:ptCount val="41"/>
                <c:pt idx="0">
                  <c:v>6973026</c:v>
                </c:pt>
                <c:pt idx="1">
                  <c:v>10440000</c:v>
                </c:pt>
                <c:pt idx="2">
                  <c:v>14198000</c:v>
                </c:pt>
                <c:pt idx="3">
                  <c:v>8899000</c:v>
                </c:pt>
                <c:pt idx="4">
                  <c:v>9481000</c:v>
                </c:pt>
                <c:pt idx="5">
                  <c:v>16771000</c:v>
                </c:pt>
                <c:pt idx="6">
                  <c:v>28923000</c:v>
                </c:pt>
                <c:pt idx="7">
                  <c:v>83067000</c:v>
                </c:pt>
                <c:pt idx="8">
                  <c:v>70396040</c:v>
                </c:pt>
                <c:pt idx="9">
                  <c:v>64463260</c:v>
                </c:pt>
                <c:pt idx="10">
                  <c:v>64757001</c:v>
                </c:pt>
                <c:pt idx="11">
                  <c:v>79155930</c:v>
                </c:pt>
                <c:pt idx="12">
                  <c:v>111054678</c:v>
                </c:pt>
                <c:pt idx="13">
                  <c:v>119983225</c:v>
                </c:pt>
                <c:pt idx="14">
                  <c:v>163338264</c:v>
                </c:pt>
                <c:pt idx="15">
                  <c:v>213970763</c:v>
                </c:pt>
                <c:pt idx="16">
                  <c:v>261467620</c:v>
                </c:pt>
                <c:pt idx="17">
                  <c:v>304071038</c:v>
                </c:pt>
                <c:pt idx="18">
                  <c:v>319864123</c:v>
                </c:pt>
                <c:pt idx="19">
                  <c:v>380107152</c:v>
                </c:pt>
                <c:pt idx="20">
                  <c:v>143979397</c:v>
                </c:pt>
                <c:pt idx="21">
                  <c:v>141347251</c:v>
                </c:pt>
                <c:pt idx="22">
                  <c:v>145160763</c:v>
                </c:pt>
                <c:pt idx="23">
                  <c:v>146873192</c:v>
                </c:pt>
                <c:pt idx="24">
                  <c:v>153595304</c:v>
                </c:pt>
                <c:pt idx="25">
                  <c:v>151070199</c:v>
                </c:pt>
                <c:pt idx="26">
                  <c:v>169094433</c:v>
                </c:pt>
                <c:pt idx="27">
                  <c:v>183335994</c:v>
                </c:pt>
                <c:pt idx="28">
                  <c:v>183154847</c:v>
                </c:pt>
                <c:pt idx="29">
                  <c:v>153610303</c:v>
                </c:pt>
                <c:pt idx="30">
                  <c:v>139039905</c:v>
                </c:pt>
                <c:pt idx="31">
                  <c:v>133720773</c:v>
                </c:pt>
                <c:pt idx="32">
                  <c:v>108944017</c:v>
                </c:pt>
                <c:pt idx="33">
                  <c:v>117996782</c:v>
                </c:pt>
                <c:pt idx="34">
                  <c:v>107883511</c:v>
                </c:pt>
                <c:pt idx="35">
                  <c:v>100964121</c:v>
                </c:pt>
                <c:pt idx="36">
                  <c:v>100284168</c:v>
                </c:pt>
                <c:pt idx="37">
                  <c:v>88677147</c:v>
                </c:pt>
                <c:pt idx="38">
                  <c:v>81371397</c:v>
                </c:pt>
                <c:pt idx="39">
                  <c:v>70669315</c:v>
                </c:pt>
                <c:pt idx="40">
                  <c:v>58862579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33-4F18-A707-DF79D56B7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4806760"/>
        <c:axId val="1054799872"/>
      </c:barChart>
      <c:catAx>
        <c:axId val="105480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4799872"/>
        <c:crosses val="autoZero"/>
        <c:auto val="1"/>
        <c:lblAlgn val="ctr"/>
        <c:lblOffset val="100"/>
        <c:noMultiLvlLbl val="0"/>
      </c:catAx>
      <c:valAx>
        <c:axId val="105479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4806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8290489024963"/>
          <c:y val="6.7407025296127229E-2"/>
          <c:w val="0.84423731408573932"/>
          <c:h val="0.61977471566054243"/>
        </c:manualLayout>
      </c:layout>
      <c:lineChart>
        <c:grouping val="standard"/>
        <c:varyColors val="0"/>
        <c:ser>
          <c:idx val="0"/>
          <c:order val="0"/>
          <c:tx>
            <c:strRef>
              <c:f>[1]図１・２!$G$18</c:f>
              <c:strCache>
                <c:ptCount val="1"/>
                <c:pt idx="0">
                  <c:v>貸付金に対する借入利息率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[1]図１・２!$H$17:$AT$17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[1]図１・２!$H$18:$AT$18</c:f>
              <c:numCache>
                <c:formatCode>General</c:formatCode>
                <c:ptCount val="39"/>
                <c:pt idx="0">
                  <c:v>7.2940531381770354E-2</c:v>
                </c:pt>
                <c:pt idx="1">
                  <c:v>9.2359305821477444E-2</c:v>
                </c:pt>
                <c:pt idx="2">
                  <c:v>8.071599740234299E-2</c:v>
                </c:pt>
                <c:pt idx="3">
                  <c:v>6.4289491675370153E-2</c:v>
                </c:pt>
                <c:pt idx="4">
                  <c:v>6.1170904888096886E-2</c:v>
                </c:pt>
                <c:pt idx="5">
                  <c:v>5.2158268677436677E-2</c:v>
                </c:pt>
                <c:pt idx="6">
                  <c:v>3.8541989533706786E-2</c:v>
                </c:pt>
                <c:pt idx="7">
                  <c:v>3.3964785258672005E-2</c:v>
                </c:pt>
                <c:pt idx="8">
                  <c:v>4.1400676666366612E-2</c:v>
                </c:pt>
                <c:pt idx="9">
                  <c:v>6.3980112830046162E-2</c:v>
                </c:pt>
                <c:pt idx="10">
                  <c:v>6.2935482909179094E-2</c:v>
                </c:pt>
                <c:pt idx="11">
                  <c:v>4.6646325832497899E-2</c:v>
                </c:pt>
                <c:pt idx="12">
                  <c:v>3.7288159707449739E-2</c:v>
                </c:pt>
                <c:pt idx="13">
                  <c:v>3.3446631157683829E-2</c:v>
                </c:pt>
                <c:pt idx="14">
                  <c:v>2.7740207648730867E-2</c:v>
                </c:pt>
                <c:pt idx="15">
                  <c:v>2.1080017632992075E-2</c:v>
                </c:pt>
                <c:pt idx="16">
                  <c:v>1.9556877083118273E-2</c:v>
                </c:pt>
                <c:pt idx="17">
                  <c:v>1.9181356933107487E-2</c:v>
                </c:pt>
                <c:pt idx="18">
                  <c:v>1.7293883187593343E-2</c:v>
                </c:pt>
                <c:pt idx="19">
                  <c:v>1.7655123699050208E-2</c:v>
                </c:pt>
                <c:pt idx="20">
                  <c:v>1.7006107428090847E-2</c:v>
                </c:pt>
                <c:pt idx="21">
                  <c:v>1.7332679517604768E-2</c:v>
                </c:pt>
                <c:pt idx="22">
                  <c:v>1.7669079762838099E-2</c:v>
                </c:pt>
                <c:pt idx="23">
                  <c:v>1.7401448724066109E-2</c:v>
                </c:pt>
                <c:pt idx="24">
                  <c:v>1.7746355836443344E-2</c:v>
                </c:pt>
                <c:pt idx="25">
                  <c:v>1.802437567572444E-2</c:v>
                </c:pt>
                <c:pt idx="26">
                  <c:v>1.6956517769533514E-2</c:v>
                </c:pt>
                <c:pt idx="27">
                  <c:v>1.6511290509239579E-2</c:v>
                </c:pt>
                <c:pt idx="28">
                  <c:v>1.70482037411132E-2</c:v>
                </c:pt>
                <c:pt idx="29">
                  <c:v>1.7469878573131547E-2</c:v>
                </c:pt>
                <c:pt idx="30">
                  <c:v>1.6483082447741135E-2</c:v>
                </c:pt>
                <c:pt idx="31">
                  <c:v>1.6548231690074505E-2</c:v>
                </c:pt>
                <c:pt idx="32">
                  <c:v>1.613024642120689E-2</c:v>
                </c:pt>
                <c:pt idx="33">
                  <c:v>1.6327424142412637E-2</c:v>
                </c:pt>
                <c:pt idx="34">
                  <c:v>1.4684136169300956E-2</c:v>
                </c:pt>
                <c:pt idx="35">
                  <c:v>1.2746410708801439E-2</c:v>
                </c:pt>
                <c:pt idx="36">
                  <c:v>1.1786886005077771E-2</c:v>
                </c:pt>
                <c:pt idx="37">
                  <c:v>1.0827172872114359E-2</c:v>
                </c:pt>
                <c:pt idx="38">
                  <c:v>1.0026575734423388E-2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5C-4A9C-AEF8-A518C4CFBE3B}"/>
            </c:ext>
          </c:extLst>
        </c:ser>
        <c:ser>
          <c:idx val="1"/>
          <c:order val="1"/>
          <c:tx>
            <c:strRef>
              <c:f>[1]図１・２!$G$19</c:f>
              <c:strCache>
                <c:ptCount val="1"/>
                <c:pt idx="0">
                  <c:v>貸付金に対する人件費率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[1]図１・２!$H$17:$AT$17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[1]図１・２!$H$19:$AT$19</c:f>
              <c:numCache>
                <c:formatCode>General</c:formatCode>
                <c:ptCount val="39"/>
                <c:pt idx="0">
                  <c:v>3.4387598553587605E-2</c:v>
                </c:pt>
                <c:pt idx="1">
                  <c:v>4.8696106613331382E-2</c:v>
                </c:pt>
                <c:pt idx="2">
                  <c:v>4.5978177293683191E-2</c:v>
                </c:pt>
                <c:pt idx="3">
                  <c:v>3.8980465592030673E-2</c:v>
                </c:pt>
                <c:pt idx="4">
                  <c:v>4.1742959703956181E-2</c:v>
                </c:pt>
                <c:pt idx="5">
                  <c:v>4.3764705228199412E-2</c:v>
                </c:pt>
                <c:pt idx="6">
                  <c:v>4.0309915384110766E-2</c:v>
                </c:pt>
                <c:pt idx="7">
                  <c:v>3.2629922187769431E-2</c:v>
                </c:pt>
                <c:pt idx="8">
                  <c:v>3.0308312167804552E-2</c:v>
                </c:pt>
                <c:pt idx="9">
                  <c:v>3.359312557619664E-2</c:v>
                </c:pt>
                <c:pt idx="10">
                  <c:v>2.8074826047039529E-2</c:v>
                </c:pt>
                <c:pt idx="11">
                  <c:v>2.8885257602360933E-2</c:v>
                </c:pt>
                <c:pt idx="12">
                  <c:v>2.9115525355081075E-2</c:v>
                </c:pt>
                <c:pt idx="13">
                  <c:v>3.2015115678841757E-2</c:v>
                </c:pt>
                <c:pt idx="14">
                  <c:v>3.4610215235313296E-2</c:v>
                </c:pt>
                <c:pt idx="15">
                  <c:v>3.4893839561621239E-2</c:v>
                </c:pt>
                <c:pt idx="16">
                  <c:v>3.3091464979143323E-2</c:v>
                </c:pt>
                <c:pt idx="17">
                  <c:v>3.5686082508890701E-2</c:v>
                </c:pt>
                <c:pt idx="18">
                  <c:v>3.5072949902823496E-2</c:v>
                </c:pt>
                <c:pt idx="19">
                  <c:v>3.5950752111736178E-2</c:v>
                </c:pt>
                <c:pt idx="20">
                  <c:v>4.0296006173046274E-2</c:v>
                </c:pt>
                <c:pt idx="21">
                  <c:v>3.6206980971507888E-2</c:v>
                </c:pt>
                <c:pt idx="22">
                  <c:v>3.8447398474017278E-2</c:v>
                </c:pt>
                <c:pt idx="23">
                  <c:v>3.5448590809282823E-2</c:v>
                </c:pt>
                <c:pt idx="24">
                  <c:v>3.5887397851798349E-2</c:v>
                </c:pt>
                <c:pt idx="25">
                  <c:v>3.5515799560619066E-2</c:v>
                </c:pt>
                <c:pt idx="26">
                  <c:v>3.578312492689744E-2</c:v>
                </c:pt>
                <c:pt idx="27">
                  <c:v>3.4169209539903315E-2</c:v>
                </c:pt>
                <c:pt idx="28">
                  <c:v>4.0007213899746354E-2</c:v>
                </c:pt>
                <c:pt idx="29">
                  <c:v>4.2216916000123665E-2</c:v>
                </c:pt>
                <c:pt idx="30">
                  <c:v>4.8821251616730739E-2</c:v>
                </c:pt>
                <c:pt idx="31">
                  <c:v>4.3891981648871037E-2</c:v>
                </c:pt>
                <c:pt idx="32">
                  <c:v>4.4562709600693362E-2</c:v>
                </c:pt>
                <c:pt idx="33">
                  <c:v>3.5007493715814214E-2</c:v>
                </c:pt>
                <c:pt idx="34">
                  <c:v>3.2136991676210078E-2</c:v>
                </c:pt>
                <c:pt idx="35">
                  <c:v>3.776257384596729E-2</c:v>
                </c:pt>
                <c:pt idx="36">
                  <c:v>3.8162706035299164E-2</c:v>
                </c:pt>
                <c:pt idx="37">
                  <c:v>4.766779656998351E-2</c:v>
                </c:pt>
                <c:pt idx="38">
                  <c:v>5.1903765358600772E-2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5C-4A9C-AEF8-A518C4CFBE3B}"/>
            </c:ext>
          </c:extLst>
        </c:ser>
        <c:ser>
          <c:idx val="2"/>
          <c:order val="2"/>
          <c:tx>
            <c:strRef>
              <c:f>[1]図１・２!$G$20</c:f>
              <c:strCache>
                <c:ptCount val="1"/>
                <c:pt idx="0">
                  <c:v>貸付金に対する物件費率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[1]図１・２!$H$17:$AT$17</c:f>
              <c:numCache>
                <c:formatCode>General</c:formatCode>
                <c:ptCount val="3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</c:numCache>
            </c:numRef>
          </c:cat>
          <c:val>
            <c:numRef>
              <c:f>[1]図１・２!$H$20:$AT$20</c:f>
              <c:numCache>
                <c:formatCode>General</c:formatCode>
                <c:ptCount val="39"/>
                <c:pt idx="0">
                  <c:v>2.5759374903873936E-2</c:v>
                </c:pt>
                <c:pt idx="1">
                  <c:v>6.0889538960370984E-2</c:v>
                </c:pt>
                <c:pt idx="2">
                  <c:v>4.9372558598489796E-2</c:v>
                </c:pt>
                <c:pt idx="3">
                  <c:v>5.3329817981076444E-2</c:v>
                </c:pt>
                <c:pt idx="4">
                  <c:v>5.106024754675887E-2</c:v>
                </c:pt>
                <c:pt idx="5">
                  <c:v>6.2412304664398628E-2</c:v>
                </c:pt>
                <c:pt idx="6">
                  <c:v>4.5583282144162171E-2</c:v>
                </c:pt>
                <c:pt idx="7">
                  <c:v>3.9696219596494747E-2</c:v>
                </c:pt>
                <c:pt idx="8">
                  <c:v>3.832525082715417E-2</c:v>
                </c:pt>
                <c:pt idx="9">
                  <c:v>2.8503752049622605E-2</c:v>
                </c:pt>
                <c:pt idx="10">
                  <c:v>2.624393635055362E-2</c:v>
                </c:pt>
                <c:pt idx="11">
                  <c:v>2.8523887278202417E-2</c:v>
                </c:pt>
                <c:pt idx="12">
                  <c:v>3.5630394938521687E-2</c:v>
                </c:pt>
                <c:pt idx="13">
                  <c:v>4.4257113338342667E-2</c:v>
                </c:pt>
                <c:pt idx="14">
                  <c:v>4.6636742410190418E-2</c:v>
                </c:pt>
                <c:pt idx="15">
                  <c:v>4.1738526886825965E-2</c:v>
                </c:pt>
                <c:pt idx="16">
                  <c:v>3.2229306640010717E-2</c:v>
                </c:pt>
                <c:pt idx="17">
                  <c:v>3.1870868282001759E-2</c:v>
                </c:pt>
                <c:pt idx="18">
                  <c:v>3.0610025241601148E-2</c:v>
                </c:pt>
                <c:pt idx="19">
                  <c:v>2.9737228064317115E-2</c:v>
                </c:pt>
                <c:pt idx="20">
                  <c:v>2.6732324897759629E-2</c:v>
                </c:pt>
                <c:pt idx="21">
                  <c:v>2.5771760408538034E-2</c:v>
                </c:pt>
                <c:pt idx="22">
                  <c:v>3.1616466404575494E-2</c:v>
                </c:pt>
                <c:pt idx="23">
                  <c:v>3.1867120549036246E-2</c:v>
                </c:pt>
                <c:pt idx="24">
                  <c:v>2.9788139961714068E-2</c:v>
                </c:pt>
                <c:pt idx="25">
                  <c:v>2.7985587496866703E-2</c:v>
                </c:pt>
                <c:pt idx="26">
                  <c:v>3.4458148829662187E-2</c:v>
                </c:pt>
                <c:pt idx="27">
                  <c:v>2.6513561284934917E-2</c:v>
                </c:pt>
                <c:pt idx="28">
                  <c:v>2.8212084774638747E-2</c:v>
                </c:pt>
                <c:pt idx="29">
                  <c:v>2.4779798325666215E-2</c:v>
                </c:pt>
                <c:pt idx="30">
                  <c:v>2.2213805349126654E-2</c:v>
                </c:pt>
                <c:pt idx="31">
                  <c:v>2.2576384897752089E-2</c:v>
                </c:pt>
                <c:pt idx="32">
                  <c:v>2.6424992853128857E-2</c:v>
                </c:pt>
                <c:pt idx="33">
                  <c:v>2.5191636863821462E-2</c:v>
                </c:pt>
                <c:pt idx="34">
                  <c:v>2.6960101577836897E-2</c:v>
                </c:pt>
                <c:pt idx="35">
                  <c:v>2.9119895442761706E-2</c:v>
                </c:pt>
                <c:pt idx="36">
                  <c:v>2.8095055649772358E-2</c:v>
                </c:pt>
                <c:pt idx="37">
                  <c:v>2.778720716575547E-2</c:v>
                </c:pt>
                <c:pt idx="38">
                  <c:v>3.6602889020650307E-2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5C-4A9C-AEF8-A518C4CFB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9671736"/>
        <c:axId val="1019670776"/>
      </c:lineChart>
      <c:catAx>
        <c:axId val="101967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9670776"/>
        <c:crosses val="autoZero"/>
        <c:auto val="1"/>
        <c:lblAlgn val="ctr"/>
        <c:lblOffset val="100"/>
        <c:noMultiLvlLbl val="0"/>
      </c:catAx>
      <c:valAx>
        <c:axId val="1019670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967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59514749651512E-2"/>
          <c:y val="3.1319910514541388E-2"/>
          <c:w val="0.8983468648356755"/>
          <c:h val="0.79921647377970373"/>
        </c:manualLayout>
      </c:layout>
      <c:lineChart>
        <c:grouping val="standard"/>
        <c:varyColors val="0"/>
        <c:ser>
          <c:idx val="0"/>
          <c:order val="0"/>
          <c:tx>
            <c:strRef>
              <c:f>[1]図１・２!$A$25</c:f>
              <c:strCache>
                <c:ptCount val="1"/>
                <c:pt idx="0">
                  <c:v>貸付金に対する経常剰余金比率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[1]図１・２!$B$24:$AN$24</c:f>
              <c:strCache>
                <c:ptCount val="39"/>
                <c:pt idx="0">
                  <c:v>1981年</c:v>
                </c:pt>
                <c:pt idx="1">
                  <c:v>1982年</c:v>
                </c:pt>
                <c:pt idx="2">
                  <c:v>1983年</c:v>
                </c:pt>
                <c:pt idx="3">
                  <c:v>1984年</c:v>
                </c:pt>
                <c:pt idx="4">
                  <c:v>1985年</c:v>
                </c:pt>
                <c:pt idx="5">
                  <c:v>1986年</c:v>
                </c:pt>
                <c:pt idx="6">
                  <c:v>1987年</c:v>
                </c:pt>
                <c:pt idx="7">
                  <c:v>1988年</c:v>
                </c:pt>
                <c:pt idx="8">
                  <c:v>1989年</c:v>
                </c:pt>
                <c:pt idx="9">
                  <c:v>1990年</c:v>
                </c:pt>
                <c:pt idx="10">
                  <c:v>1991年</c:v>
                </c:pt>
                <c:pt idx="11">
                  <c:v>1992年</c:v>
                </c:pt>
                <c:pt idx="12">
                  <c:v>1993年</c:v>
                </c:pt>
                <c:pt idx="13">
                  <c:v>1994年</c:v>
                </c:pt>
                <c:pt idx="14">
                  <c:v>1995年</c:v>
                </c:pt>
                <c:pt idx="15">
                  <c:v>1996年</c:v>
                </c:pt>
                <c:pt idx="16">
                  <c:v>1997年</c:v>
                </c:pt>
                <c:pt idx="17">
                  <c:v>1998年</c:v>
                </c:pt>
                <c:pt idx="18">
                  <c:v>1999年</c:v>
                </c:pt>
                <c:pt idx="19">
                  <c:v>2000年</c:v>
                </c:pt>
                <c:pt idx="20">
                  <c:v>2001年</c:v>
                </c:pt>
                <c:pt idx="21">
                  <c:v>2002年</c:v>
                </c:pt>
                <c:pt idx="22">
                  <c:v>2003年</c:v>
                </c:pt>
                <c:pt idx="23">
                  <c:v>2004年</c:v>
                </c:pt>
                <c:pt idx="24">
                  <c:v>2005年</c:v>
                </c:pt>
                <c:pt idx="25">
                  <c:v>2006年</c:v>
                </c:pt>
                <c:pt idx="26">
                  <c:v>2007年</c:v>
                </c:pt>
                <c:pt idx="27">
                  <c:v>2008年</c:v>
                </c:pt>
                <c:pt idx="28">
                  <c:v>2009年</c:v>
                </c:pt>
                <c:pt idx="29">
                  <c:v>2010年</c:v>
                </c:pt>
                <c:pt idx="30">
                  <c:v>2011年</c:v>
                </c:pt>
                <c:pt idx="31">
                  <c:v>2012年</c:v>
                </c:pt>
                <c:pt idx="32">
                  <c:v>2013年</c:v>
                </c:pt>
                <c:pt idx="33">
                  <c:v>2014年</c:v>
                </c:pt>
                <c:pt idx="34">
                  <c:v>2015年</c:v>
                </c:pt>
                <c:pt idx="35">
                  <c:v>2016年</c:v>
                </c:pt>
                <c:pt idx="36">
                  <c:v>2017年</c:v>
                </c:pt>
                <c:pt idx="37">
                  <c:v>2018年</c:v>
                </c:pt>
                <c:pt idx="38">
                  <c:v>2019年</c:v>
                </c:pt>
              </c:strCache>
            </c:strRef>
          </c:cat>
          <c:val>
            <c:numRef>
              <c:f>[1]図１・２!$B$25:$AN$25</c:f>
              <c:numCache>
                <c:formatCode>General</c:formatCode>
                <c:ptCount val="39"/>
                <c:pt idx="0">
                  <c:v>3.9501913479514664E-2</c:v>
                </c:pt>
                <c:pt idx="1">
                  <c:v>4.6146823115624609E-3</c:v>
                </c:pt>
                <c:pt idx="2">
                  <c:v>6.2862026297266678E-3</c:v>
                </c:pt>
                <c:pt idx="3">
                  <c:v>7.7178713781380455E-3</c:v>
                </c:pt>
                <c:pt idx="4">
                  <c:v>7.6465956109351141E-3</c:v>
                </c:pt>
                <c:pt idx="5">
                  <c:v>4.0593212168597761E-3</c:v>
                </c:pt>
                <c:pt idx="6">
                  <c:v>1.2600457085571917E-2</c:v>
                </c:pt>
                <c:pt idx="7">
                  <c:v>1.4635996373382828E-2</c:v>
                </c:pt>
                <c:pt idx="8">
                  <c:v>9.6793599375679957E-3</c:v>
                </c:pt>
                <c:pt idx="9">
                  <c:v>5.1315891324640473E-3</c:v>
                </c:pt>
                <c:pt idx="10">
                  <c:v>3.8681727513896697E-3</c:v>
                </c:pt>
                <c:pt idx="11">
                  <c:v>1.5965517185402327E-2</c:v>
                </c:pt>
                <c:pt idx="12">
                  <c:v>2.4933540563428967E-2</c:v>
                </c:pt>
                <c:pt idx="13">
                  <c:v>1.3450978962519436E-2</c:v>
                </c:pt>
                <c:pt idx="14">
                  <c:v>2.4625045753360397E-2</c:v>
                </c:pt>
                <c:pt idx="15">
                  <c:v>2.2893582177944322E-2</c:v>
                </c:pt>
                <c:pt idx="16">
                  <c:v>3.1590727627729603E-2</c:v>
                </c:pt>
                <c:pt idx="17">
                  <c:v>2.9551829718630851E-2</c:v>
                </c:pt>
                <c:pt idx="18">
                  <c:v>2.7503384080809243E-2</c:v>
                </c:pt>
                <c:pt idx="19">
                  <c:v>2.1465447317744867E-2</c:v>
                </c:pt>
                <c:pt idx="20">
                  <c:v>1.9147123387347545E-2</c:v>
                </c:pt>
                <c:pt idx="21">
                  <c:v>2.3211629038859531E-2</c:v>
                </c:pt>
                <c:pt idx="22">
                  <c:v>2.1946874546733799E-2</c:v>
                </c:pt>
                <c:pt idx="23">
                  <c:v>1.3230525063371679E-2</c:v>
                </c:pt>
                <c:pt idx="24">
                  <c:v>1.5582347504709198E-2</c:v>
                </c:pt>
                <c:pt idx="25">
                  <c:v>1.6383187533752803E-2</c:v>
                </c:pt>
                <c:pt idx="26">
                  <c:v>9.0207166840873803E-3</c:v>
                </c:pt>
                <c:pt idx="27">
                  <c:v>1.8192905842275911E-2</c:v>
                </c:pt>
                <c:pt idx="28">
                  <c:v>1.0218631557853909E-2</c:v>
                </c:pt>
                <c:pt idx="29">
                  <c:v>1.1829845550456913E-2</c:v>
                </c:pt>
                <c:pt idx="30">
                  <c:v>9.192351096721136E-3</c:v>
                </c:pt>
                <c:pt idx="31">
                  <c:v>1.3856408098250658E-2</c:v>
                </c:pt>
                <c:pt idx="32">
                  <c:v>6.4492727443526939E-3</c:v>
                </c:pt>
                <c:pt idx="33">
                  <c:v>2.1961214254914662E-2</c:v>
                </c:pt>
                <c:pt idx="34">
                  <c:v>1.8163686726870191E-2</c:v>
                </c:pt>
                <c:pt idx="35">
                  <c:v>1.1946111424429159E-2</c:v>
                </c:pt>
                <c:pt idx="36">
                  <c:v>1.6419072836893811E-2</c:v>
                </c:pt>
                <c:pt idx="37">
                  <c:v>2.9846415949593724E-2</c:v>
                </c:pt>
                <c:pt idx="38">
                  <c:v>2.1240044436427654E-3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45-4F54-85E1-EF13F526D167}"/>
            </c:ext>
          </c:extLst>
        </c:ser>
        <c:ser>
          <c:idx val="1"/>
          <c:order val="1"/>
          <c:tx>
            <c:strRef>
              <c:f>[1]図１・２!$A$26</c:f>
              <c:strCache>
                <c:ptCount val="1"/>
                <c:pt idx="0">
                  <c:v>貸付金に対する事業剰余金比率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[1]図１・２!$B$24:$AN$24</c:f>
              <c:strCache>
                <c:ptCount val="39"/>
                <c:pt idx="0">
                  <c:v>1981年</c:v>
                </c:pt>
                <c:pt idx="1">
                  <c:v>1982年</c:v>
                </c:pt>
                <c:pt idx="2">
                  <c:v>1983年</c:v>
                </c:pt>
                <c:pt idx="3">
                  <c:v>1984年</c:v>
                </c:pt>
                <c:pt idx="4">
                  <c:v>1985年</c:v>
                </c:pt>
                <c:pt idx="5">
                  <c:v>1986年</c:v>
                </c:pt>
                <c:pt idx="6">
                  <c:v>1987年</c:v>
                </c:pt>
                <c:pt idx="7">
                  <c:v>1988年</c:v>
                </c:pt>
                <c:pt idx="8">
                  <c:v>1989年</c:v>
                </c:pt>
                <c:pt idx="9">
                  <c:v>1990年</c:v>
                </c:pt>
                <c:pt idx="10">
                  <c:v>1991年</c:v>
                </c:pt>
                <c:pt idx="11">
                  <c:v>1992年</c:v>
                </c:pt>
                <c:pt idx="12">
                  <c:v>1993年</c:v>
                </c:pt>
                <c:pt idx="13">
                  <c:v>1994年</c:v>
                </c:pt>
                <c:pt idx="14">
                  <c:v>1995年</c:v>
                </c:pt>
                <c:pt idx="15">
                  <c:v>1996年</c:v>
                </c:pt>
                <c:pt idx="16">
                  <c:v>1997年</c:v>
                </c:pt>
                <c:pt idx="17">
                  <c:v>1998年</c:v>
                </c:pt>
                <c:pt idx="18">
                  <c:v>1999年</c:v>
                </c:pt>
                <c:pt idx="19">
                  <c:v>2000年</c:v>
                </c:pt>
                <c:pt idx="20">
                  <c:v>2001年</c:v>
                </c:pt>
                <c:pt idx="21">
                  <c:v>2002年</c:v>
                </c:pt>
                <c:pt idx="22">
                  <c:v>2003年</c:v>
                </c:pt>
                <c:pt idx="23">
                  <c:v>2004年</c:v>
                </c:pt>
                <c:pt idx="24">
                  <c:v>2005年</c:v>
                </c:pt>
                <c:pt idx="25">
                  <c:v>2006年</c:v>
                </c:pt>
                <c:pt idx="26">
                  <c:v>2007年</c:v>
                </c:pt>
                <c:pt idx="27">
                  <c:v>2008年</c:v>
                </c:pt>
                <c:pt idx="28">
                  <c:v>2009年</c:v>
                </c:pt>
                <c:pt idx="29">
                  <c:v>2010年</c:v>
                </c:pt>
                <c:pt idx="30">
                  <c:v>2011年</c:v>
                </c:pt>
                <c:pt idx="31">
                  <c:v>2012年</c:v>
                </c:pt>
                <c:pt idx="32">
                  <c:v>2013年</c:v>
                </c:pt>
                <c:pt idx="33">
                  <c:v>2014年</c:v>
                </c:pt>
                <c:pt idx="34">
                  <c:v>2015年</c:v>
                </c:pt>
                <c:pt idx="35">
                  <c:v>2016年</c:v>
                </c:pt>
                <c:pt idx="36">
                  <c:v>2017年</c:v>
                </c:pt>
                <c:pt idx="37">
                  <c:v>2018年</c:v>
                </c:pt>
                <c:pt idx="38">
                  <c:v>2019年</c:v>
                </c:pt>
              </c:strCache>
            </c:strRef>
          </c:cat>
          <c:val>
            <c:numRef>
              <c:f>[1]図１・２!$B$26:$AN$26</c:f>
              <c:numCache>
                <c:formatCode>General</c:formatCode>
                <c:ptCount val="39"/>
                <c:pt idx="0">
                  <c:v>4.3953673225199122E-2</c:v>
                </c:pt>
                <c:pt idx="1">
                  <c:v>3.6356938286919551E-3</c:v>
                </c:pt>
                <c:pt idx="2">
                  <c:v>-1.3159687851432079E-3</c:v>
                </c:pt>
                <c:pt idx="3">
                  <c:v>-1.4844203516093289E-3</c:v>
                </c:pt>
                <c:pt idx="4">
                  <c:v>3.4966787889645972E-3</c:v>
                </c:pt>
                <c:pt idx="5">
                  <c:v>-4.9676959264398635E-3</c:v>
                </c:pt>
                <c:pt idx="6">
                  <c:v>3.421275629567312E-3</c:v>
                </c:pt>
                <c:pt idx="7">
                  <c:v>9.5804303503112913E-3</c:v>
                </c:pt>
                <c:pt idx="8">
                  <c:v>7.607376890973014E-3</c:v>
                </c:pt>
                <c:pt idx="9">
                  <c:v>-9.9385179775986839E-4</c:v>
                </c:pt>
                <c:pt idx="10">
                  <c:v>3.2936126664662173E-3</c:v>
                </c:pt>
                <c:pt idx="11">
                  <c:v>1.6970240778406889E-2</c:v>
                </c:pt>
                <c:pt idx="12">
                  <c:v>2.5369551983311363E-2</c:v>
                </c:pt>
                <c:pt idx="13">
                  <c:v>1.2270404443151159E-2</c:v>
                </c:pt>
                <c:pt idx="14">
                  <c:v>2.315831251328624E-2</c:v>
                </c:pt>
                <c:pt idx="15">
                  <c:v>2.0867264471140984E-2</c:v>
                </c:pt>
                <c:pt idx="16">
                  <c:v>3.1523395257553037E-2</c:v>
                </c:pt>
                <c:pt idx="17">
                  <c:v>2.7763729556216515E-2</c:v>
                </c:pt>
                <c:pt idx="18">
                  <c:v>2.6149223915811863E-2</c:v>
                </c:pt>
                <c:pt idx="19">
                  <c:v>2.1086856667290758E-2</c:v>
                </c:pt>
                <c:pt idx="20">
                  <c:v>1.8870841739510293E-2</c:v>
                </c:pt>
                <c:pt idx="21">
                  <c:v>2.162295814343505E-2</c:v>
                </c:pt>
                <c:pt idx="22">
                  <c:v>2.0993474446598524E-2</c:v>
                </c:pt>
                <c:pt idx="23">
                  <c:v>1.2473484198133152E-2</c:v>
                </c:pt>
                <c:pt idx="24">
                  <c:v>1.4941097662169788E-2</c:v>
                </c:pt>
                <c:pt idx="25">
                  <c:v>1.4928288353377017E-2</c:v>
                </c:pt>
                <c:pt idx="26">
                  <c:v>8.6503103185459531E-3</c:v>
                </c:pt>
                <c:pt idx="27">
                  <c:v>1.7709320712436485E-2</c:v>
                </c:pt>
                <c:pt idx="28">
                  <c:v>8.3317973319735686E-3</c:v>
                </c:pt>
                <c:pt idx="29">
                  <c:v>9.2521998746995411E-3</c:v>
                </c:pt>
                <c:pt idx="30">
                  <c:v>5.1902492694082978E-3</c:v>
                </c:pt>
                <c:pt idx="31">
                  <c:v>9.5945537767366806E-3</c:v>
                </c:pt>
                <c:pt idx="32">
                  <c:v>2.8388500451646216E-3</c:v>
                </c:pt>
                <c:pt idx="33">
                  <c:v>1.8710272160725384E-2</c:v>
                </c:pt>
                <c:pt idx="34">
                  <c:v>1.6117710006570904E-2</c:v>
                </c:pt>
                <c:pt idx="35">
                  <c:v>9.3628957625903914E-3</c:v>
                </c:pt>
                <c:pt idx="36">
                  <c:v>1.1410239323312577E-2</c:v>
                </c:pt>
                <c:pt idx="37">
                  <c:v>2.2396907875163611E-3</c:v>
                </c:pt>
                <c:pt idx="38">
                  <c:v>-7.7785265334758043E-3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45-4F54-85E1-EF13F526D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0112568"/>
        <c:axId val="930112888"/>
      </c:lineChart>
      <c:catAx>
        <c:axId val="93011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0112888"/>
        <c:crosses val="autoZero"/>
        <c:auto val="1"/>
        <c:lblAlgn val="ctr"/>
        <c:lblOffset val="100"/>
        <c:noMultiLvlLbl val="0"/>
      </c:catAx>
      <c:valAx>
        <c:axId val="93011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0112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362807519873412E-2"/>
          <c:y val="0.87080484067008401"/>
          <c:w val="0.9"/>
          <c:h val="0.129195330846802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77559055118105E-2"/>
          <c:y val="7.407407407407407E-2"/>
          <c:w val="0.89655796150481193"/>
          <c:h val="0.76505577427821525"/>
        </c:manualLayout>
      </c:layout>
      <c:lineChart>
        <c:grouping val="standard"/>
        <c:varyColors val="0"/>
        <c:ser>
          <c:idx val="0"/>
          <c:order val="0"/>
          <c:tx>
            <c:strRef>
              <c:f>[1]図１・２!$Z$29</c:f>
              <c:strCache>
                <c:ptCount val="1"/>
                <c:pt idx="0">
                  <c:v>償却率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[1]図１・２!$AA$28:$AM$28</c:f>
              <c:strCache>
                <c:ptCount val="13"/>
                <c:pt idx="0">
                  <c:v>2006年</c:v>
                </c:pt>
                <c:pt idx="1">
                  <c:v>2007年</c:v>
                </c:pt>
                <c:pt idx="2">
                  <c:v>2008年</c:v>
                </c:pt>
                <c:pt idx="3">
                  <c:v>2009年</c:v>
                </c:pt>
                <c:pt idx="4">
                  <c:v>2010年</c:v>
                </c:pt>
                <c:pt idx="5">
                  <c:v>2011年</c:v>
                </c:pt>
                <c:pt idx="6">
                  <c:v>2012年</c:v>
                </c:pt>
                <c:pt idx="7">
                  <c:v>2013年</c:v>
                </c:pt>
                <c:pt idx="8">
                  <c:v>2014年</c:v>
                </c:pt>
                <c:pt idx="9">
                  <c:v>2015年</c:v>
                </c:pt>
                <c:pt idx="10">
                  <c:v>2016年</c:v>
                </c:pt>
                <c:pt idx="11">
                  <c:v>2017年</c:v>
                </c:pt>
                <c:pt idx="12">
                  <c:v>2018年</c:v>
                </c:pt>
              </c:strCache>
            </c:strRef>
          </c:cat>
          <c:val>
            <c:numRef>
              <c:f>[1]図１・２!$AA$29:$AM$29</c:f>
              <c:numCache>
                <c:formatCode>General</c:formatCode>
                <c:ptCount val="13"/>
                <c:pt idx="0">
                  <c:v>0.25</c:v>
                </c:pt>
                <c:pt idx="1">
                  <c:v>0.31</c:v>
                </c:pt>
                <c:pt idx="2">
                  <c:v>0.46</c:v>
                </c:pt>
                <c:pt idx="3">
                  <c:v>0.78</c:v>
                </c:pt>
                <c:pt idx="4">
                  <c:v>0.97</c:v>
                </c:pt>
                <c:pt idx="5">
                  <c:v>1.1200000000000001</c:v>
                </c:pt>
                <c:pt idx="6">
                  <c:v>0.28999999999999998</c:v>
                </c:pt>
                <c:pt idx="7">
                  <c:v>0.36</c:v>
                </c:pt>
                <c:pt idx="8">
                  <c:v>0.43</c:v>
                </c:pt>
                <c:pt idx="9">
                  <c:v>0.34</c:v>
                </c:pt>
                <c:pt idx="10">
                  <c:v>0.1</c:v>
                </c:pt>
                <c:pt idx="11">
                  <c:v>0.53</c:v>
                </c:pt>
                <c:pt idx="12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1F-44C3-A97D-3988FE51F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1318712"/>
        <c:axId val="1101316792"/>
      </c:lineChart>
      <c:catAx>
        <c:axId val="110131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01316792"/>
        <c:crosses val="autoZero"/>
        <c:auto val="1"/>
        <c:lblAlgn val="ctr"/>
        <c:lblOffset val="100"/>
        <c:noMultiLvlLbl val="0"/>
      </c:catAx>
      <c:valAx>
        <c:axId val="110131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013187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26922602049553"/>
          <c:y val="0.11279657720731233"/>
          <c:w val="0.80226542243676291"/>
          <c:h val="0.71478667266941687"/>
        </c:manualLayout>
      </c:layout>
      <c:lineChart>
        <c:grouping val="standard"/>
        <c:varyColors val="0"/>
        <c:ser>
          <c:idx val="0"/>
          <c:order val="0"/>
          <c:tx>
            <c:strRef>
              <c:f>[1]図１・２!$A$32</c:f>
              <c:strCache>
                <c:ptCount val="1"/>
                <c:pt idx="0">
                  <c:v>短期貸付金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[1]図１・２!$B$31:$AN$31</c:f>
              <c:strCache>
                <c:ptCount val="39"/>
                <c:pt idx="0">
                  <c:v>1981年</c:v>
                </c:pt>
                <c:pt idx="1">
                  <c:v>1982年</c:v>
                </c:pt>
                <c:pt idx="2">
                  <c:v>1983年</c:v>
                </c:pt>
                <c:pt idx="3">
                  <c:v>1984年</c:v>
                </c:pt>
                <c:pt idx="4">
                  <c:v>1985年</c:v>
                </c:pt>
                <c:pt idx="5">
                  <c:v>1986年</c:v>
                </c:pt>
                <c:pt idx="6">
                  <c:v>1987年</c:v>
                </c:pt>
                <c:pt idx="7">
                  <c:v>1988年</c:v>
                </c:pt>
                <c:pt idx="8">
                  <c:v>1989年</c:v>
                </c:pt>
                <c:pt idx="9">
                  <c:v>1990年</c:v>
                </c:pt>
                <c:pt idx="10">
                  <c:v>1991年</c:v>
                </c:pt>
                <c:pt idx="11">
                  <c:v>1992年</c:v>
                </c:pt>
                <c:pt idx="12">
                  <c:v>1993年</c:v>
                </c:pt>
                <c:pt idx="13">
                  <c:v>1994年</c:v>
                </c:pt>
                <c:pt idx="14">
                  <c:v>1995年</c:v>
                </c:pt>
                <c:pt idx="15">
                  <c:v>1996年</c:v>
                </c:pt>
                <c:pt idx="16">
                  <c:v>1997年</c:v>
                </c:pt>
                <c:pt idx="17">
                  <c:v>1998年</c:v>
                </c:pt>
                <c:pt idx="18">
                  <c:v>1999年</c:v>
                </c:pt>
                <c:pt idx="19">
                  <c:v>2000年</c:v>
                </c:pt>
                <c:pt idx="20">
                  <c:v>2001年</c:v>
                </c:pt>
                <c:pt idx="21">
                  <c:v>2002年</c:v>
                </c:pt>
                <c:pt idx="22">
                  <c:v>2003年</c:v>
                </c:pt>
                <c:pt idx="23">
                  <c:v>2004年</c:v>
                </c:pt>
                <c:pt idx="24">
                  <c:v>2005年</c:v>
                </c:pt>
                <c:pt idx="25">
                  <c:v>2006年</c:v>
                </c:pt>
                <c:pt idx="26">
                  <c:v>2007年</c:v>
                </c:pt>
                <c:pt idx="27">
                  <c:v>2008年</c:v>
                </c:pt>
                <c:pt idx="28">
                  <c:v>2009年</c:v>
                </c:pt>
                <c:pt idx="29">
                  <c:v>2010年</c:v>
                </c:pt>
                <c:pt idx="30">
                  <c:v>2011年</c:v>
                </c:pt>
                <c:pt idx="31">
                  <c:v>2012年</c:v>
                </c:pt>
                <c:pt idx="32">
                  <c:v>2013年</c:v>
                </c:pt>
                <c:pt idx="33">
                  <c:v>2014年</c:v>
                </c:pt>
                <c:pt idx="34">
                  <c:v>2015年</c:v>
                </c:pt>
                <c:pt idx="35">
                  <c:v>2016年</c:v>
                </c:pt>
                <c:pt idx="36">
                  <c:v>2017年</c:v>
                </c:pt>
                <c:pt idx="37">
                  <c:v>2018年</c:v>
                </c:pt>
                <c:pt idx="38">
                  <c:v>2019年</c:v>
                </c:pt>
              </c:strCache>
            </c:strRef>
          </c:cat>
          <c:val>
            <c:numRef>
              <c:f>[1]図１・２!$B$32:$AN$32</c:f>
              <c:numCache>
                <c:formatCode>General</c:formatCode>
                <c:ptCount val="39"/>
                <c:pt idx="0">
                  <c:v>210117433</c:v>
                </c:pt>
                <c:pt idx="1">
                  <c:v>340906414</c:v>
                </c:pt>
                <c:pt idx="2">
                  <c:v>462114153</c:v>
                </c:pt>
                <c:pt idx="3">
                  <c:v>605317992</c:v>
                </c:pt>
                <c:pt idx="4">
                  <c:v>610811443</c:v>
                </c:pt>
                <c:pt idx="5">
                  <c:v>548117784</c:v>
                </c:pt>
                <c:pt idx="6">
                  <c:v>977261801</c:v>
                </c:pt>
                <c:pt idx="7">
                  <c:v>1148075293</c:v>
                </c:pt>
                <c:pt idx="8">
                  <c:v>1336722065</c:v>
                </c:pt>
                <c:pt idx="9">
                  <c:v>1574665736</c:v>
                </c:pt>
                <c:pt idx="10">
                  <c:v>1909467695</c:v>
                </c:pt>
                <c:pt idx="11">
                  <c:v>2233860907</c:v>
                </c:pt>
                <c:pt idx="12">
                  <c:v>2564628088</c:v>
                </c:pt>
                <c:pt idx="13">
                  <c:v>2932720782</c:v>
                </c:pt>
                <c:pt idx="14">
                  <c:v>3060330824</c:v>
                </c:pt>
                <c:pt idx="15">
                  <c:v>3581582216</c:v>
                </c:pt>
                <c:pt idx="16">
                  <c:v>4003922329</c:v>
                </c:pt>
                <c:pt idx="17">
                  <c:v>4102242138</c:v>
                </c:pt>
                <c:pt idx="18">
                  <c:v>4585975330</c:v>
                </c:pt>
                <c:pt idx="19">
                  <c:v>5415534204</c:v>
                </c:pt>
                <c:pt idx="20">
                  <c:v>6058496101</c:v>
                </c:pt>
                <c:pt idx="21">
                  <c:v>6925468079</c:v>
                </c:pt>
                <c:pt idx="22">
                  <c:v>7566202310</c:v>
                </c:pt>
                <c:pt idx="23">
                  <c:v>7970472842</c:v>
                </c:pt>
                <c:pt idx="24">
                  <c:v>7839237083</c:v>
                </c:pt>
                <c:pt idx="25">
                  <c:v>7465974646</c:v>
                </c:pt>
                <c:pt idx="26">
                  <c:v>7115508024</c:v>
                </c:pt>
                <c:pt idx="27">
                  <c:v>6167948401</c:v>
                </c:pt>
                <c:pt idx="28">
                  <c:v>5334141026</c:v>
                </c:pt>
                <c:pt idx="29">
                  <c:v>4947628206</c:v>
                </c:pt>
                <c:pt idx="30">
                  <c:v>4557057492</c:v>
                </c:pt>
                <c:pt idx="31">
                  <c:v>4070098489</c:v>
                </c:pt>
                <c:pt idx="32">
                  <c:v>3495128155</c:v>
                </c:pt>
                <c:pt idx="33">
                  <c:v>3141588026</c:v>
                </c:pt>
                <c:pt idx="34">
                  <c:v>2815395687</c:v>
                </c:pt>
                <c:pt idx="35">
                  <c:v>2434952629</c:v>
                </c:pt>
                <c:pt idx="36">
                  <c:v>2104718322</c:v>
                </c:pt>
                <c:pt idx="37">
                  <c:v>1894483733</c:v>
                </c:pt>
                <c:pt idx="38">
                  <c:v>1781689367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8B-4F6C-90DF-0272BBD65E46}"/>
            </c:ext>
          </c:extLst>
        </c:ser>
        <c:ser>
          <c:idx val="1"/>
          <c:order val="1"/>
          <c:tx>
            <c:strRef>
              <c:f>[1]図１・２!$A$33</c:f>
              <c:strCache>
                <c:ptCount val="1"/>
                <c:pt idx="0">
                  <c:v>短期借入金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[1]図１・２!$B$31:$AN$31</c:f>
              <c:strCache>
                <c:ptCount val="39"/>
                <c:pt idx="0">
                  <c:v>1981年</c:v>
                </c:pt>
                <c:pt idx="1">
                  <c:v>1982年</c:v>
                </c:pt>
                <c:pt idx="2">
                  <c:v>1983年</c:v>
                </c:pt>
                <c:pt idx="3">
                  <c:v>1984年</c:v>
                </c:pt>
                <c:pt idx="4">
                  <c:v>1985年</c:v>
                </c:pt>
                <c:pt idx="5">
                  <c:v>1986年</c:v>
                </c:pt>
                <c:pt idx="6">
                  <c:v>1987年</c:v>
                </c:pt>
                <c:pt idx="7">
                  <c:v>1988年</c:v>
                </c:pt>
                <c:pt idx="8">
                  <c:v>1989年</c:v>
                </c:pt>
                <c:pt idx="9">
                  <c:v>1990年</c:v>
                </c:pt>
                <c:pt idx="10">
                  <c:v>1991年</c:v>
                </c:pt>
                <c:pt idx="11">
                  <c:v>1992年</c:v>
                </c:pt>
                <c:pt idx="12">
                  <c:v>1993年</c:v>
                </c:pt>
                <c:pt idx="13">
                  <c:v>1994年</c:v>
                </c:pt>
                <c:pt idx="14">
                  <c:v>1995年</c:v>
                </c:pt>
                <c:pt idx="15">
                  <c:v>1996年</c:v>
                </c:pt>
                <c:pt idx="16">
                  <c:v>1997年</c:v>
                </c:pt>
                <c:pt idx="17">
                  <c:v>1998年</c:v>
                </c:pt>
                <c:pt idx="18">
                  <c:v>1999年</c:v>
                </c:pt>
                <c:pt idx="19">
                  <c:v>2000年</c:v>
                </c:pt>
                <c:pt idx="20">
                  <c:v>2001年</c:v>
                </c:pt>
                <c:pt idx="21">
                  <c:v>2002年</c:v>
                </c:pt>
                <c:pt idx="22">
                  <c:v>2003年</c:v>
                </c:pt>
                <c:pt idx="23">
                  <c:v>2004年</c:v>
                </c:pt>
                <c:pt idx="24">
                  <c:v>2005年</c:v>
                </c:pt>
                <c:pt idx="25">
                  <c:v>2006年</c:v>
                </c:pt>
                <c:pt idx="26">
                  <c:v>2007年</c:v>
                </c:pt>
                <c:pt idx="27">
                  <c:v>2008年</c:v>
                </c:pt>
                <c:pt idx="28">
                  <c:v>2009年</c:v>
                </c:pt>
                <c:pt idx="29">
                  <c:v>2010年</c:v>
                </c:pt>
                <c:pt idx="30">
                  <c:v>2011年</c:v>
                </c:pt>
                <c:pt idx="31">
                  <c:v>2012年</c:v>
                </c:pt>
                <c:pt idx="32">
                  <c:v>2013年</c:v>
                </c:pt>
                <c:pt idx="33">
                  <c:v>2014年</c:v>
                </c:pt>
                <c:pt idx="34">
                  <c:v>2015年</c:v>
                </c:pt>
                <c:pt idx="35">
                  <c:v>2016年</c:v>
                </c:pt>
                <c:pt idx="36">
                  <c:v>2017年</c:v>
                </c:pt>
                <c:pt idx="37">
                  <c:v>2018年</c:v>
                </c:pt>
                <c:pt idx="38">
                  <c:v>2019年</c:v>
                </c:pt>
              </c:strCache>
            </c:strRef>
          </c:cat>
          <c:val>
            <c:numRef>
              <c:f>[1]図１・２!$B$33:$AN$33</c:f>
              <c:numCache>
                <c:formatCode>General</c:formatCode>
                <c:ptCount val="39"/>
                <c:pt idx="0">
                  <c:v>272600000</c:v>
                </c:pt>
                <c:pt idx="1">
                  <c:v>321550000</c:v>
                </c:pt>
                <c:pt idx="2">
                  <c:v>393657000</c:v>
                </c:pt>
                <c:pt idx="3">
                  <c:v>604980400</c:v>
                </c:pt>
                <c:pt idx="4">
                  <c:v>645000000</c:v>
                </c:pt>
                <c:pt idx="5">
                  <c:v>590000000</c:v>
                </c:pt>
                <c:pt idx="6">
                  <c:v>905000000</c:v>
                </c:pt>
                <c:pt idx="7">
                  <c:v>1058099869</c:v>
                </c:pt>
                <c:pt idx="8">
                  <c:v>1261886480</c:v>
                </c:pt>
                <c:pt idx="9">
                  <c:v>1420160735</c:v>
                </c:pt>
                <c:pt idx="10">
                  <c:v>1694146360</c:v>
                </c:pt>
                <c:pt idx="11">
                  <c:v>1979916857</c:v>
                </c:pt>
                <c:pt idx="12">
                  <c:v>2235884261</c:v>
                </c:pt>
                <c:pt idx="13">
                  <c:v>2643455535</c:v>
                </c:pt>
                <c:pt idx="14">
                  <c:v>2719527471</c:v>
                </c:pt>
                <c:pt idx="15">
                  <c:v>3153997281</c:v>
                </c:pt>
                <c:pt idx="16">
                  <c:v>3500310515</c:v>
                </c:pt>
                <c:pt idx="17">
                  <c:v>3552011194</c:v>
                </c:pt>
                <c:pt idx="18">
                  <c:v>3935335449</c:v>
                </c:pt>
                <c:pt idx="19">
                  <c:v>4214754287</c:v>
                </c:pt>
                <c:pt idx="20">
                  <c:v>4862000000</c:v>
                </c:pt>
                <c:pt idx="21">
                  <c:v>5393531577</c:v>
                </c:pt>
                <c:pt idx="22">
                  <c:v>5722201988</c:v>
                </c:pt>
                <c:pt idx="23">
                  <c:v>6169460796</c:v>
                </c:pt>
                <c:pt idx="24">
                  <c:v>6025694408</c:v>
                </c:pt>
                <c:pt idx="25">
                  <c:v>5707401544</c:v>
                </c:pt>
                <c:pt idx="26">
                  <c:v>5209257778</c:v>
                </c:pt>
                <c:pt idx="27">
                  <c:v>4768492682</c:v>
                </c:pt>
                <c:pt idx="28">
                  <c:v>4479998866</c:v>
                </c:pt>
                <c:pt idx="29">
                  <c:v>3911871805</c:v>
                </c:pt>
                <c:pt idx="30">
                  <c:v>3500290961</c:v>
                </c:pt>
                <c:pt idx="31">
                  <c:v>3142982057</c:v>
                </c:pt>
                <c:pt idx="32">
                  <c:v>2615026484</c:v>
                </c:pt>
                <c:pt idx="33">
                  <c:v>2287394117</c:v>
                </c:pt>
                <c:pt idx="34">
                  <c:v>1873861231</c:v>
                </c:pt>
                <c:pt idx="35">
                  <c:v>1548811522</c:v>
                </c:pt>
                <c:pt idx="36">
                  <c:v>1268932009</c:v>
                </c:pt>
                <c:pt idx="37">
                  <c:v>1058581768</c:v>
                </c:pt>
                <c:pt idx="38">
                  <c:v>966677007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8B-4F6C-90DF-0272BBD65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5850696"/>
        <c:axId val="1095852296"/>
      </c:lineChart>
      <c:catAx>
        <c:axId val="1095850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5852296"/>
        <c:crosses val="autoZero"/>
        <c:auto val="1"/>
        <c:lblAlgn val="ctr"/>
        <c:lblOffset val="100"/>
        <c:noMultiLvlLbl val="0"/>
      </c:catAx>
      <c:valAx>
        <c:axId val="109585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5850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[1]図１・２!$Z$29</c:f>
              <c:strCache>
                <c:ptCount val="1"/>
                <c:pt idx="0">
                  <c:v>償却率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[1]図１・２!$AA$28:$AM$28</c:f>
              <c:strCache>
                <c:ptCount val="13"/>
                <c:pt idx="0">
                  <c:v>2006年</c:v>
                </c:pt>
                <c:pt idx="1">
                  <c:v>2007年</c:v>
                </c:pt>
                <c:pt idx="2">
                  <c:v>2008年</c:v>
                </c:pt>
                <c:pt idx="3">
                  <c:v>2009年</c:v>
                </c:pt>
                <c:pt idx="4">
                  <c:v>2010年</c:v>
                </c:pt>
                <c:pt idx="5">
                  <c:v>2011年</c:v>
                </c:pt>
                <c:pt idx="6">
                  <c:v>2012年</c:v>
                </c:pt>
                <c:pt idx="7">
                  <c:v>2013年</c:v>
                </c:pt>
                <c:pt idx="8">
                  <c:v>2014年</c:v>
                </c:pt>
                <c:pt idx="9">
                  <c:v>2015年</c:v>
                </c:pt>
                <c:pt idx="10">
                  <c:v>2016年</c:v>
                </c:pt>
                <c:pt idx="11">
                  <c:v>2017年</c:v>
                </c:pt>
                <c:pt idx="12">
                  <c:v>2018年</c:v>
                </c:pt>
              </c:strCache>
            </c:strRef>
          </c:cat>
          <c:val>
            <c:numRef>
              <c:f>[1]図１・２!$AA$29:$AM$29</c:f>
              <c:numCache>
                <c:formatCode>General</c:formatCode>
                <c:ptCount val="13"/>
                <c:pt idx="0">
                  <c:v>0.25</c:v>
                </c:pt>
                <c:pt idx="1">
                  <c:v>0.31</c:v>
                </c:pt>
                <c:pt idx="2">
                  <c:v>0.46</c:v>
                </c:pt>
                <c:pt idx="3">
                  <c:v>0.78</c:v>
                </c:pt>
                <c:pt idx="4">
                  <c:v>0.97</c:v>
                </c:pt>
                <c:pt idx="5">
                  <c:v>1.1200000000000001</c:v>
                </c:pt>
                <c:pt idx="6">
                  <c:v>0.28999999999999998</c:v>
                </c:pt>
                <c:pt idx="7">
                  <c:v>0.36</c:v>
                </c:pt>
                <c:pt idx="8">
                  <c:v>0.43</c:v>
                </c:pt>
                <c:pt idx="9">
                  <c:v>0.34</c:v>
                </c:pt>
                <c:pt idx="10">
                  <c:v>0.1</c:v>
                </c:pt>
                <c:pt idx="11">
                  <c:v>0.53</c:v>
                </c:pt>
                <c:pt idx="12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97-4035-92AD-C84C7F916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6983920"/>
        <c:axId val="986985200"/>
      </c:lineChart>
      <c:catAx>
        <c:axId val="98698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6985200"/>
        <c:crosses val="autoZero"/>
        <c:auto val="1"/>
        <c:lblAlgn val="ctr"/>
        <c:lblOffset val="100"/>
        <c:noMultiLvlLbl val="0"/>
      </c:catAx>
      <c:valAx>
        <c:axId val="98698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698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[1]図３!$I$52</c:f>
              <c:strCache>
                <c:ptCount val="1"/>
                <c:pt idx="0">
                  <c:v>貸付金に対する借入利息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[1]図３!$J$51:$AV$51</c:f>
              <c:strCache>
                <c:ptCount val="39"/>
                <c:pt idx="0">
                  <c:v>1981年</c:v>
                </c:pt>
                <c:pt idx="1">
                  <c:v>1982年</c:v>
                </c:pt>
                <c:pt idx="2">
                  <c:v>1983年</c:v>
                </c:pt>
                <c:pt idx="3">
                  <c:v>1984年</c:v>
                </c:pt>
                <c:pt idx="4">
                  <c:v>1985年</c:v>
                </c:pt>
                <c:pt idx="5">
                  <c:v>1986年</c:v>
                </c:pt>
                <c:pt idx="6">
                  <c:v>1987年</c:v>
                </c:pt>
                <c:pt idx="7">
                  <c:v>1988年</c:v>
                </c:pt>
                <c:pt idx="8">
                  <c:v>1989年</c:v>
                </c:pt>
                <c:pt idx="9">
                  <c:v>1990年</c:v>
                </c:pt>
                <c:pt idx="10">
                  <c:v>1991年</c:v>
                </c:pt>
                <c:pt idx="11">
                  <c:v>1992年</c:v>
                </c:pt>
                <c:pt idx="12">
                  <c:v>1993年</c:v>
                </c:pt>
                <c:pt idx="13">
                  <c:v>1994年</c:v>
                </c:pt>
                <c:pt idx="14">
                  <c:v>1995年</c:v>
                </c:pt>
                <c:pt idx="15">
                  <c:v>1996年</c:v>
                </c:pt>
                <c:pt idx="16">
                  <c:v>1997年</c:v>
                </c:pt>
                <c:pt idx="17">
                  <c:v>1998年</c:v>
                </c:pt>
                <c:pt idx="18">
                  <c:v>1999年</c:v>
                </c:pt>
                <c:pt idx="19">
                  <c:v>2000年</c:v>
                </c:pt>
                <c:pt idx="20">
                  <c:v>2001年</c:v>
                </c:pt>
                <c:pt idx="21">
                  <c:v>2002年</c:v>
                </c:pt>
                <c:pt idx="22">
                  <c:v>2003年</c:v>
                </c:pt>
                <c:pt idx="23">
                  <c:v>2004年</c:v>
                </c:pt>
                <c:pt idx="24">
                  <c:v>2005年</c:v>
                </c:pt>
                <c:pt idx="25">
                  <c:v>2006年</c:v>
                </c:pt>
                <c:pt idx="26">
                  <c:v>2007年</c:v>
                </c:pt>
                <c:pt idx="27">
                  <c:v>2008年</c:v>
                </c:pt>
                <c:pt idx="28">
                  <c:v>2009年</c:v>
                </c:pt>
                <c:pt idx="29">
                  <c:v>2010年</c:v>
                </c:pt>
                <c:pt idx="30">
                  <c:v>2011年</c:v>
                </c:pt>
                <c:pt idx="31">
                  <c:v>2012年</c:v>
                </c:pt>
                <c:pt idx="32">
                  <c:v>2013年</c:v>
                </c:pt>
                <c:pt idx="33">
                  <c:v>2014年</c:v>
                </c:pt>
                <c:pt idx="34">
                  <c:v>2015年</c:v>
                </c:pt>
                <c:pt idx="35">
                  <c:v>2016年</c:v>
                </c:pt>
                <c:pt idx="36">
                  <c:v>2017年</c:v>
                </c:pt>
                <c:pt idx="37">
                  <c:v>2018年</c:v>
                </c:pt>
                <c:pt idx="38">
                  <c:v>2019年</c:v>
                </c:pt>
              </c:strCache>
            </c:strRef>
          </c:cat>
          <c:val>
            <c:numRef>
              <c:f>[1]図３!$J$52:$AV$52</c:f>
              <c:numCache>
                <c:formatCode>General</c:formatCode>
                <c:ptCount val="39"/>
                <c:pt idx="0">
                  <c:v>7.2940531381770354E-2</c:v>
                </c:pt>
                <c:pt idx="1">
                  <c:v>9.2359305821477444E-2</c:v>
                </c:pt>
                <c:pt idx="2">
                  <c:v>8.071599740234299E-2</c:v>
                </c:pt>
                <c:pt idx="3">
                  <c:v>6.4289491675370153E-2</c:v>
                </c:pt>
                <c:pt idx="4">
                  <c:v>6.1170904888096886E-2</c:v>
                </c:pt>
                <c:pt idx="5">
                  <c:v>5.2158268677436677E-2</c:v>
                </c:pt>
                <c:pt idx="6">
                  <c:v>3.8541989533706786E-2</c:v>
                </c:pt>
                <c:pt idx="7">
                  <c:v>3.3964785258672005E-2</c:v>
                </c:pt>
                <c:pt idx="8">
                  <c:v>4.1400676666366612E-2</c:v>
                </c:pt>
                <c:pt idx="9">
                  <c:v>6.3980112830046162E-2</c:v>
                </c:pt>
                <c:pt idx="10">
                  <c:v>6.2935482909179094E-2</c:v>
                </c:pt>
                <c:pt idx="11">
                  <c:v>4.6646325832497899E-2</c:v>
                </c:pt>
                <c:pt idx="12">
                  <c:v>3.7288159707449739E-2</c:v>
                </c:pt>
                <c:pt idx="13">
                  <c:v>3.3446631157683829E-2</c:v>
                </c:pt>
                <c:pt idx="14">
                  <c:v>2.7740207648730867E-2</c:v>
                </c:pt>
                <c:pt idx="15">
                  <c:v>2.1080017632992075E-2</c:v>
                </c:pt>
                <c:pt idx="16">
                  <c:v>1.9556877083118273E-2</c:v>
                </c:pt>
                <c:pt idx="17">
                  <c:v>1.9181356933107487E-2</c:v>
                </c:pt>
                <c:pt idx="18">
                  <c:v>1.7293883187593343E-2</c:v>
                </c:pt>
                <c:pt idx="19">
                  <c:v>1.7655123699050208E-2</c:v>
                </c:pt>
                <c:pt idx="20">
                  <c:v>1.7006107428090847E-2</c:v>
                </c:pt>
                <c:pt idx="21">
                  <c:v>1.7332679517604768E-2</c:v>
                </c:pt>
                <c:pt idx="22">
                  <c:v>1.7669079762838099E-2</c:v>
                </c:pt>
                <c:pt idx="23">
                  <c:v>1.7401448724066109E-2</c:v>
                </c:pt>
                <c:pt idx="24">
                  <c:v>1.7746355836443344E-2</c:v>
                </c:pt>
                <c:pt idx="25">
                  <c:v>1.802437567572444E-2</c:v>
                </c:pt>
                <c:pt idx="26">
                  <c:v>1.6956517769533514E-2</c:v>
                </c:pt>
                <c:pt idx="27">
                  <c:v>1.6511290509239579E-2</c:v>
                </c:pt>
                <c:pt idx="28">
                  <c:v>1.70482037411132E-2</c:v>
                </c:pt>
                <c:pt idx="29">
                  <c:v>1.7469878573131547E-2</c:v>
                </c:pt>
                <c:pt idx="30">
                  <c:v>1.6483082447741135E-2</c:v>
                </c:pt>
                <c:pt idx="31">
                  <c:v>1.6548231690074505E-2</c:v>
                </c:pt>
                <c:pt idx="32">
                  <c:v>1.613024642120689E-2</c:v>
                </c:pt>
                <c:pt idx="33">
                  <c:v>1.6327424142412637E-2</c:v>
                </c:pt>
                <c:pt idx="34">
                  <c:v>1.4684136169300956E-2</c:v>
                </c:pt>
                <c:pt idx="35">
                  <c:v>1.2746410708801439E-2</c:v>
                </c:pt>
                <c:pt idx="36">
                  <c:v>1.1786886005077771E-2</c:v>
                </c:pt>
                <c:pt idx="37">
                  <c:v>1.0827172872114359E-2</c:v>
                </c:pt>
                <c:pt idx="38">
                  <c:v>1.0026575734423388E-2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DB-4681-B0A8-C513C71C9C35}"/>
            </c:ext>
          </c:extLst>
        </c:ser>
        <c:ser>
          <c:idx val="1"/>
          <c:order val="1"/>
          <c:tx>
            <c:strRef>
              <c:f>[1]図３!$I$53</c:f>
              <c:strCache>
                <c:ptCount val="1"/>
                <c:pt idx="0">
                  <c:v>貸付金に対する人件費率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[1]図３!$J$51:$AV$51</c:f>
              <c:strCache>
                <c:ptCount val="39"/>
                <c:pt idx="0">
                  <c:v>1981年</c:v>
                </c:pt>
                <c:pt idx="1">
                  <c:v>1982年</c:v>
                </c:pt>
                <c:pt idx="2">
                  <c:v>1983年</c:v>
                </c:pt>
                <c:pt idx="3">
                  <c:v>1984年</c:v>
                </c:pt>
                <c:pt idx="4">
                  <c:v>1985年</c:v>
                </c:pt>
                <c:pt idx="5">
                  <c:v>1986年</c:v>
                </c:pt>
                <c:pt idx="6">
                  <c:v>1987年</c:v>
                </c:pt>
                <c:pt idx="7">
                  <c:v>1988年</c:v>
                </c:pt>
                <c:pt idx="8">
                  <c:v>1989年</c:v>
                </c:pt>
                <c:pt idx="9">
                  <c:v>1990年</c:v>
                </c:pt>
                <c:pt idx="10">
                  <c:v>1991年</c:v>
                </c:pt>
                <c:pt idx="11">
                  <c:v>1992年</c:v>
                </c:pt>
                <c:pt idx="12">
                  <c:v>1993年</c:v>
                </c:pt>
                <c:pt idx="13">
                  <c:v>1994年</c:v>
                </c:pt>
                <c:pt idx="14">
                  <c:v>1995年</c:v>
                </c:pt>
                <c:pt idx="15">
                  <c:v>1996年</c:v>
                </c:pt>
                <c:pt idx="16">
                  <c:v>1997年</c:v>
                </c:pt>
                <c:pt idx="17">
                  <c:v>1998年</c:v>
                </c:pt>
                <c:pt idx="18">
                  <c:v>1999年</c:v>
                </c:pt>
                <c:pt idx="19">
                  <c:v>2000年</c:v>
                </c:pt>
                <c:pt idx="20">
                  <c:v>2001年</c:v>
                </c:pt>
                <c:pt idx="21">
                  <c:v>2002年</c:v>
                </c:pt>
                <c:pt idx="22">
                  <c:v>2003年</c:v>
                </c:pt>
                <c:pt idx="23">
                  <c:v>2004年</c:v>
                </c:pt>
                <c:pt idx="24">
                  <c:v>2005年</c:v>
                </c:pt>
                <c:pt idx="25">
                  <c:v>2006年</c:v>
                </c:pt>
                <c:pt idx="26">
                  <c:v>2007年</c:v>
                </c:pt>
                <c:pt idx="27">
                  <c:v>2008年</c:v>
                </c:pt>
                <c:pt idx="28">
                  <c:v>2009年</c:v>
                </c:pt>
                <c:pt idx="29">
                  <c:v>2010年</c:v>
                </c:pt>
                <c:pt idx="30">
                  <c:v>2011年</c:v>
                </c:pt>
                <c:pt idx="31">
                  <c:v>2012年</c:v>
                </c:pt>
                <c:pt idx="32">
                  <c:v>2013年</c:v>
                </c:pt>
                <c:pt idx="33">
                  <c:v>2014年</c:v>
                </c:pt>
                <c:pt idx="34">
                  <c:v>2015年</c:v>
                </c:pt>
                <c:pt idx="35">
                  <c:v>2016年</c:v>
                </c:pt>
                <c:pt idx="36">
                  <c:v>2017年</c:v>
                </c:pt>
                <c:pt idx="37">
                  <c:v>2018年</c:v>
                </c:pt>
                <c:pt idx="38">
                  <c:v>2019年</c:v>
                </c:pt>
              </c:strCache>
            </c:strRef>
          </c:cat>
          <c:val>
            <c:numRef>
              <c:f>[1]図３!$J$53:$AV$53</c:f>
              <c:numCache>
                <c:formatCode>General</c:formatCode>
                <c:ptCount val="39"/>
                <c:pt idx="0">
                  <c:v>3.4387598553587605E-2</c:v>
                </c:pt>
                <c:pt idx="1">
                  <c:v>4.8696106613331382E-2</c:v>
                </c:pt>
                <c:pt idx="2">
                  <c:v>4.5978177293683191E-2</c:v>
                </c:pt>
                <c:pt idx="3">
                  <c:v>3.8980465592030673E-2</c:v>
                </c:pt>
                <c:pt idx="4">
                  <c:v>4.1742959703956181E-2</c:v>
                </c:pt>
                <c:pt idx="5">
                  <c:v>4.3764705228199412E-2</c:v>
                </c:pt>
                <c:pt idx="6">
                  <c:v>4.0309915384110766E-2</c:v>
                </c:pt>
                <c:pt idx="7">
                  <c:v>3.2629922187769431E-2</c:v>
                </c:pt>
                <c:pt idx="8">
                  <c:v>3.0308312167804552E-2</c:v>
                </c:pt>
                <c:pt idx="9">
                  <c:v>3.359312557619664E-2</c:v>
                </c:pt>
                <c:pt idx="10">
                  <c:v>2.8074826047039529E-2</c:v>
                </c:pt>
                <c:pt idx="11">
                  <c:v>2.8885257602360933E-2</c:v>
                </c:pt>
                <c:pt idx="12">
                  <c:v>2.9115525355081075E-2</c:v>
                </c:pt>
                <c:pt idx="13">
                  <c:v>3.2015115678841757E-2</c:v>
                </c:pt>
                <c:pt idx="14">
                  <c:v>3.4610215235313296E-2</c:v>
                </c:pt>
                <c:pt idx="15">
                  <c:v>3.4893839561621239E-2</c:v>
                </c:pt>
                <c:pt idx="16">
                  <c:v>3.3091464979143323E-2</c:v>
                </c:pt>
                <c:pt idx="17">
                  <c:v>3.5686082508890701E-2</c:v>
                </c:pt>
                <c:pt idx="18">
                  <c:v>3.5072949902823496E-2</c:v>
                </c:pt>
                <c:pt idx="19">
                  <c:v>3.5950752111736178E-2</c:v>
                </c:pt>
                <c:pt idx="20">
                  <c:v>4.0296006173046274E-2</c:v>
                </c:pt>
                <c:pt idx="21">
                  <c:v>3.6206980971507888E-2</c:v>
                </c:pt>
                <c:pt idx="22">
                  <c:v>3.8447398474017278E-2</c:v>
                </c:pt>
                <c:pt idx="23">
                  <c:v>3.5448590809282823E-2</c:v>
                </c:pt>
                <c:pt idx="24">
                  <c:v>3.5887397851798349E-2</c:v>
                </c:pt>
                <c:pt idx="25">
                  <c:v>3.5515799560619066E-2</c:v>
                </c:pt>
                <c:pt idx="26">
                  <c:v>3.578312492689744E-2</c:v>
                </c:pt>
                <c:pt idx="27">
                  <c:v>3.4169209539903315E-2</c:v>
                </c:pt>
                <c:pt idx="28">
                  <c:v>4.0007213899746354E-2</c:v>
                </c:pt>
                <c:pt idx="29">
                  <c:v>4.2216916000123665E-2</c:v>
                </c:pt>
                <c:pt idx="30">
                  <c:v>4.8821251616730739E-2</c:v>
                </c:pt>
                <c:pt idx="31">
                  <c:v>4.3891981648871037E-2</c:v>
                </c:pt>
                <c:pt idx="32">
                  <c:v>4.4562709600693362E-2</c:v>
                </c:pt>
                <c:pt idx="33">
                  <c:v>3.5007493715814214E-2</c:v>
                </c:pt>
                <c:pt idx="34">
                  <c:v>3.2136991676210078E-2</c:v>
                </c:pt>
                <c:pt idx="35">
                  <c:v>3.776257384596729E-2</c:v>
                </c:pt>
                <c:pt idx="36">
                  <c:v>3.8162706035299164E-2</c:v>
                </c:pt>
                <c:pt idx="37">
                  <c:v>4.766779656998351E-2</c:v>
                </c:pt>
                <c:pt idx="38">
                  <c:v>5.1903765358600772E-2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DB-4681-B0A8-C513C71C9C35}"/>
            </c:ext>
          </c:extLst>
        </c:ser>
        <c:ser>
          <c:idx val="2"/>
          <c:order val="2"/>
          <c:tx>
            <c:strRef>
              <c:f>[1]図３!$I$54</c:f>
              <c:strCache>
                <c:ptCount val="1"/>
                <c:pt idx="0">
                  <c:v>貸付金に対する物件費率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[1]図３!$J$51:$AV$51</c:f>
              <c:strCache>
                <c:ptCount val="39"/>
                <c:pt idx="0">
                  <c:v>1981年</c:v>
                </c:pt>
                <c:pt idx="1">
                  <c:v>1982年</c:v>
                </c:pt>
                <c:pt idx="2">
                  <c:v>1983年</c:v>
                </c:pt>
                <c:pt idx="3">
                  <c:v>1984年</c:v>
                </c:pt>
                <c:pt idx="4">
                  <c:v>1985年</c:v>
                </c:pt>
                <c:pt idx="5">
                  <c:v>1986年</c:v>
                </c:pt>
                <c:pt idx="6">
                  <c:v>1987年</c:v>
                </c:pt>
                <c:pt idx="7">
                  <c:v>1988年</c:v>
                </c:pt>
                <c:pt idx="8">
                  <c:v>1989年</c:v>
                </c:pt>
                <c:pt idx="9">
                  <c:v>1990年</c:v>
                </c:pt>
                <c:pt idx="10">
                  <c:v>1991年</c:v>
                </c:pt>
                <c:pt idx="11">
                  <c:v>1992年</c:v>
                </c:pt>
                <c:pt idx="12">
                  <c:v>1993年</c:v>
                </c:pt>
                <c:pt idx="13">
                  <c:v>1994年</c:v>
                </c:pt>
                <c:pt idx="14">
                  <c:v>1995年</c:v>
                </c:pt>
                <c:pt idx="15">
                  <c:v>1996年</c:v>
                </c:pt>
                <c:pt idx="16">
                  <c:v>1997年</c:v>
                </c:pt>
                <c:pt idx="17">
                  <c:v>1998年</c:v>
                </c:pt>
                <c:pt idx="18">
                  <c:v>1999年</c:v>
                </c:pt>
                <c:pt idx="19">
                  <c:v>2000年</c:v>
                </c:pt>
                <c:pt idx="20">
                  <c:v>2001年</c:v>
                </c:pt>
                <c:pt idx="21">
                  <c:v>2002年</c:v>
                </c:pt>
                <c:pt idx="22">
                  <c:v>2003年</c:v>
                </c:pt>
                <c:pt idx="23">
                  <c:v>2004年</c:v>
                </c:pt>
                <c:pt idx="24">
                  <c:v>2005年</c:v>
                </c:pt>
                <c:pt idx="25">
                  <c:v>2006年</c:v>
                </c:pt>
                <c:pt idx="26">
                  <c:v>2007年</c:v>
                </c:pt>
                <c:pt idx="27">
                  <c:v>2008年</c:v>
                </c:pt>
                <c:pt idx="28">
                  <c:v>2009年</c:v>
                </c:pt>
                <c:pt idx="29">
                  <c:v>2010年</c:v>
                </c:pt>
                <c:pt idx="30">
                  <c:v>2011年</c:v>
                </c:pt>
                <c:pt idx="31">
                  <c:v>2012年</c:v>
                </c:pt>
                <c:pt idx="32">
                  <c:v>2013年</c:v>
                </c:pt>
                <c:pt idx="33">
                  <c:v>2014年</c:v>
                </c:pt>
                <c:pt idx="34">
                  <c:v>2015年</c:v>
                </c:pt>
                <c:pt idx="35">
                  <c:v>2016年</c:v>
                </c:pt>
                <c:pt idx="36">
                  <c:v>2017年</c:v>
                </c:pt>
                <c:pt idx="37">
                  <c:v>2018年</c:v>
                </c:pt>
                <c:pt idx="38">
                  <c:v>2019年</c:v>
                </c:pt>
              </c:strCache>
            </c:strRef>
          </c:cat>
          <c:val>
            <c:numRef>
              <c:f>[1]図３!$J$54:$AV$54</c:f>
              <c:numCache>
                <c:formatCode>General</c:formatCode>
                <c:ptCount val="39"/>
                <c:pt idx="0">
                  <c:v>2.5759374903873936E-2</c:v>
                </c:pt>
                <c:pt idx="1">
                  <c:v>6.0889538960370984E-2</c:v>
                </c:pt>
                <c:pt idx="2">
                  <c:v>4.9372558598489796E-2</c:v>
                </c:pt>
                <c:pt idx="3">
                  <c:v>5.3329817981076444E-2</c:v>
                </c:pt>
                <c:pt idx="4">
                  <c:v>5.106024754675887E-2</c:v>
                </c:pt>
                <c:pt idx="5">
                  <c:v>6.2412304664398628E-2</c:v>
                </c:pt>
                <c:pt idx="6">
                  <c:v>4.5583282144162171E-2</c:v>
                </c:pt>
                <c:pt idx="7">
                  <c:v>3.9696219596494747E-2</c:v>
                </c:pt>
                <c:pt idx="8">
                  <c:v>3.832525082715417E-2</c:v>
                </c:pt>
                <c:pt idx="9">
                  <c:v>2.8503752049622605E-2</c:v>
                </c:pt>
                <c:pt idx="10">
                  <c:v>2.624393635055362E-2</c:v>
                </c:pt>
                <c:pt idx="11">
                  <c:v>2.8523887278202417E-2</c:v>
                </c:pt>
                <c:pt idx="12">
                  <c:v>3.5630394938521687E-2</c:v>
                </c:pt>
                <c:pt idx="13">
                  <c:v>4.4257113338342667E-2</c:v>
                </c:pt>
                <c:pt idx="14">
                  <c:v>4.6636742410190418E-2</c:v>
                </c:pt>
                <c:pt idx="15">
                  <c:v>4.1738526886825965E-2</c:v>
                </c:pt>
                <c:pt idx="16">
                  <c:v>3.2229306640010717E-2</c:v>
                </c:pt>
                <c:pt idx="17">
                  <c:v>3.1870868282001759E-2</c:v>
                </c:pt>
                <c:pt idx="18">
                  <c:v>3.0610025241601148E-2</c:v>
                </c:pt>
                <c:pt idx="19">
                  <c:v>2.9737228064317115E-2</c:v>
                </c:pt>
                <c:pt idx="20">
                  <c:v>2.6732324897759629E-2</c:v>
                </c:pt>
                <c:pt idx="21">
                  <c:v>2.5771760408538034E-2</c:v>
                </c:pt>
                <c:pt idx="22">
                  <c:v>3.1616466404575494E-2</c:v>
                </c:pt>
                <c:pt idx="23">
                  <c:v>3.1867120549036246E-2</c:v>
                </c:pt>
                <c:pt idx="24">
                  <c:v>2.9788139961714068E-2</c:v>
                </c:pt>
                <c:pt idx="25">
                  <c:v>2.7985587496866703E-2</c:v>
                </c:pt>
                <c:pt idx="26">
                  <c:v>3.4458148829662187E-2</c:v>
                </c:pt>
                <c:pt idx="27">
                  <c:v>2.6513561284934917E-2</c:v>
                </c:pt>
                <c:pt idx="28">
                  <c:v>2.8212084774638747E-2</c:v>
                </c:pt>
                <c:pt idx="29">
                  <c:v>2.4779798325666215E-2</c:v>
                </c:pt>
                <c:pt idx="30">
                  <c:v>2.2213805349126654E-2</c:v>
                </c:pt>
                <c:pt idx="31">
                  <c:v>2.2576384897752089E-2</c:v>
                </c:pt>
                <c:pt idx="32">
                  <c:v>2.6424992853128857E-2</c:v>
                </c:pt>
                <c:pt idx="33">
                  <c:v>2.5191636863821462E-2</c:v>
                </c:pt>
                <c:pt idx="34">
                  <c:v>2.6960101577836897E-2</c:v>
                </c:pt>
                <c:pt idx="35">
                  <c:v>2.9119895442761706E-2</c:v>
                </c:pt>
                <c:pt idx="36">
                  <c:v>2.8095055649772358E-2</c:v>
                </c:pt>
                <c:pt idx="37">
                  <c:v>2.778720716575547E-2</c:v>
                </c:pt>
                <c:pt idx="38">
                  <c:v>3.6602889020650307E-2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DB-4681-B0A8-C513C71C9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365576"/>
        <c:axId val="996363656"/>
      </c:lineChart>
      <c:catAx>
        <c:axId val="99636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6363656"/>
        <c:crosses val="autoZero"/>
        <c:auto val="1"/>
        <c:lblAlgn val="ctr"/>
        <c:lblOffset val="100"/>
        <c:noMultiLvlLbl val="0"/>
      </c:catAx>
      <c:valAx>
        <c:axId val="99636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636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総資産額・純資産額・自己資本比率（単位：円・％）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主要経営指標グラフ!$A$45</c:f>
              <c:strCache>
                <c:ptCount val="1"/>
                <c:pt idx="0">
                  <c:v>総資産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主要経営指標グラフ!$B$40:$AU$40</c:f>
              <c:strCache>
                <c:ptCount val="46"/>
                <c:pt idx="0">
                  <c:v>1971年度</c:v>
                </c:pt>
                <c:pt idx="1">
                  <c:v>1974年度</c:v>
                </c:pt>
                <c:pt idx="2">
                  <c:v>1975年度</c:v>
                </c:pt>
                <c:pt idx="3">
                  <c:v>1976年度</c:v>
                </c:pt>
                <c:pt idx="4">
                  <c:v>1977年度</c:v>
                </c:pt>
                <c:pt idx="5">
                  <c:v>1978年度</c:v>
                </c:pt>
                <c:pt idx="6">
                  <c:v>1979年度</c:v>
                </c:pt>
                <c:pt idx="7">
                  <c:v>1980年度</c:v>
                </c:pt>
                <c:pt idx="8">
                  <c:v>1981年度</c:v>
                </c:pt>
                <c:pt idx="9">
                  <c:v>1982年度</c:v>
                </c:pt>
                <c:pt idx="10">
                  <c:v>1983年度</c:v>
                </c:pt>
                <c:pt idx="11">
                  <c:v>1984年度</c:v>
                </c:pt>
                <c:pt idx="12">
                  <c:v>1985年度</c:v>
                </c:pt>
                <c:pt idx="13">
                  <c:v>1986年度</c:v>
                </c:pt>
                <c:pt idx="14">
                  <c:v>1987年度</c:v>
                </c:pt>
                <c:pt idx="15">
                  <c:v>1988年度</c:v>
                </c:pt>
                <c:pt idx="16">
                  <c:v>1989年度</c:v>
                </c:pt>
                <c:pt idx="17">
                  <c:v>1990年度</c:v>
                </c:pt>
                <c:pt idx="18">
                  <c:v>1991年度</c:v>
                </c:pt>
                <c:pt idx="19">
                  <c:v>1992年度</c:v>
                </c:pt>
                <c:pt idx="20">
                  <c:v>1993年度</c:v>
                </c:pt>
                <c:pt idx="21">
                  <c:v>1994年度</c:v>
                </c:pt>
                <c:pt idx="22">
                  <c:v>1995年度</c:v>
                </c:pt>
                <c:pt idx="23">
                  <c:v>1996年度</c:v>
                </c:pt>
                <c:pt idx="24">
                  <c:v>1997年度</c:v>
                </c:pt>
                <c:pt idx="25">
                  <c:v>1998年度</c:v>
                </c:pt>
                <c:pt idx="26">
                  <c:v>1999年度</c:v>
                </c:pt>
                <c:pt idx="27">
                  <c:v>2000年度</c:v>
                </c:pt>
                <c:pt idx="28">
                  <c:v>2001年度</c:v>
                </c:pt>
                <c:pt idx="29">
                  <c:v>2002年度</c:v>
                </c:pt>
                <c:pt idx="30">
                  <c:v>2003年度</c:v>
                </c:pt>
                <c:pt idx="31">
                  <c:v>2004年度</c:v>
                </c:pt>
                <c:pt idx="32">
                  <c:v>2005年度</c:v>
                </c:pt>
                <c:pt idx="33">
                  <c:v>2006年度</c:v>
                </c:pt>
                <c:pt idx="34">
                  <c:v>2007年度</c:v>
                </c:pt>
                <c:pt idx="35">
                  <c:v>2008年度</c:v>
                </c:pt>
                <c:pt idx="36">
                  <c:v>2009年度</c:v>
                </c:pt>
                <c:pt idx="37">
                  <c:v>2010年度</c:v>
                </c:pt>
                <c:pt idx="38">
                  <c:v>2011年度</c:v>
                </c:pt>
                <c:pt idx="39">
                  <c:v>2012年度</c:v>
                </c:pt>
                <c:pt idx="40">
                  <c:v>2013年度</c:v>
                </c:pt>
                <c:pt idx="41">
                  <c:v>2014年度</c:v>
                </c:pt>
                <c:pt idx="42">
                  <c:v>2015年度</c:v>
                </c:pt>
                <c:pt idx="43">
                  <c:v>2016年度</c:v>
                </c:pt>
                <c:pt idx="44">
                  <c:v>2017年度</c:v>
                </c:pt>
                <c:pt idx="45">
                  <c:v>2018年度</c:v>
                </c:pt>
              </c:strCache>
            </c:strRef>
          </c:cat>
          <c:val>
            <c:numRef>
              <c:f>主要経営指標グラフ!$B$45:$AU$45</c:f>
              <c:numCache>
                <c:formatCode>#,##0;"△ "#,##0</c:formatCode>
                <c:ptCount val="46"/>
                <c:pt idx="0">
                  <c:v>62303265</c:v>
                </c:pt>
                <c:pt idx="1">
                  <c:v>39788372</c:v>
                </c:pt>
                <c:pt idx="2">
                  <c:v>44991578</c:v>
                </c:pt>
                <c:pt idx="3">
                  <c:v>58785550</c:v>
                </c:pt>
                <c:pt idx="4">
                  <c:v>110119597</c:v>
                </c:pt>
                <c:pt idx="5">
                  <c:v>95104274</c:v>
                </c:pt>
                <c:pt idx="6">
                  <c:v>90098589</c:v>
                </c:pt>
                <c:pt idx="7">
                  <c:v>199652870</c:v>
                </c:pt>
                <c:pt idx="8">
                  <c:v>298989776</c:v>
                </c:pt>
                <c:pt idx="9">
                  <c:v>431724974</c:v>
                </c:pt>
                <c:pt idx="10">
                  <c:v>518598768</c:v>
                </c:pt>
                <c:pt idx="11">
                  <c:v>685028886</c:v>
                </c:pt>
                <c:pt idx="12">
                  <c:v>716400817</c:v>
                </c:pt>
                <c:pt idx="13">
                  <c:v>658946691</c:v>
                </c:pt>
                <c:pt idx="14">
                  <c:v>1061714733</c:v>
                </c:pt>
                <c:pt idx="15">
                  <c:v>1240055113</c:v>
                </c:pt>
                <c:pt idx="16">
                  <c:v>1472768021</c:v>
                </c:pt>
                <c:pt idx="17">
                  <c:v>1650192386</c:v>
                </c:pt>
                <c:pt idx="18">
                  <c:v>1978934069</c:v>
                </c:pt>
                <c:pt idx="19">
                  <c:v>2336650051</c:v>
                </c:pt>
                <c:pt idx="20">
                  <c:v>2686913801</c:v>
                </c:pt>
                <c:pt idx="21">
                  <c:v>3141882685</c:v>
                </c:pt>
                <c:pt idx="22">
                  <c:v>3244305292</c:v>
                </c:pt>
                <c:pt idx="23">
                  <c:v>3743161523</c:v>
                </c:pt>
                <c:pt idx="24">
                  <c:v>4190097465</c:v>
                </c:pt>
                <c:pt idx="25">
                  <c:v>4322432320</c:v>
                </c:pt>
                <c:pt idx="26">
                  <c:v>4817258503</c:v>
                </c:pt>
                <c:pt idx="27">
                  <c:v>5637085525</c:v>
                </c:pt>
                <c:pt idx="28">
                  <c:v>6335898686</c:v>
                </c:pt>
                <c:pt idx="29">
                  <c:v>7215932693</c:v>
                </c:pt>
                <c:pt idx="30">
                  <c:v>7798716231</c:v>
                </c:pt>
                <c:pt idx="31">
                  <c:v>8182426142</c:v>
                </c:pt>
                <c:pt idx="32">
                  <c:v>8047958856</c:v>
                </c:pt>
                <c:pt idx="33">
                  <c:v>7630946993</c:v>
                </c:pt>
                <c:pt idx="34">
                  <c:v>7299912168</c:v>
                </c:pt>
                <c:pt idx="35">
                  <c:v>6603808994</c:v>
                </c:pt>
                <c:pt idx="36">
                  <c:v>6157067990</c:v>
                </c:pt>
                <c:pt idx="37">
                  <c:v>5417415320</c:v>
                </c:pt>
                <c:pt idx="38">
                  <c:v>5230112931</c:v>
                </c:pt>
                <c:pt idx="39">
                  <c:v>4733982536</c:v>
                </c:pt>
                <c:pt idx="40">
                  <c:v>4090210637</c:v>
                </c:pt>
                <c:pt idx="41">
                  <c:v>3829161759</c:v>
                </c:pt>
                <c:pt idx="42">
                  <c:v>3473694406</c:v>
                </c:pt>
                <c:pt idx="43">
                  <c:v>3140821759</c:v>
                </c:pt>
                <c:pt idx="44">
                  <c:v>2846516510</c:v>
                </c:pt>
                <c:pt idx="45">
                  <c:v>2614890840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E7-47A7-B6F2-6A5D2C916D74}"/>
            </c:ext>
          </c:extLst>
        </c:ser>
        <c:ser>
          <c:idx val="1"/>
          <c:order val="1"/>
          <c:tx>
            <c:strRef>
              <c:f>主要経営指標グラフ!$A$46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主要経営指標グラフ!$B$40:$AU$40</c:f>
              <c:strCache>
                <c:ptCount val="46"/>
                <c:pt idx="0">
                  <c:v>1971年度</c:v>
                </c:pt>
                <c:pt idx="1">
                  <c:v>1974年度</c:v>
                </c:pt>
                <c:pt idx="2">
                  <c:v>1975年度</c:v>
                </c:pt>
                <c:pt idx="3">
                  <c:v>1976年度</c:v>
                </c:pt>
                <c:pt idx="4">
                  <c:v>1977年度</c:v>
                </c:pt>
                <c:pt idx="5">
                  <c:v>1978年度</c:v>
                </c:pt>
                <c:pt idx="6">
                  <c:v>1979年度</c:v>
                </c:pt>
                <c:pt idx="7">
                  <c:v>1980年度</c:v>
                </c:pt>
                <c:pt idx="8">
                  <c:v>1981年度</c:v>
                </c:pt>
                <c:pt idx="9">
                  <c:v>1982年度</c:v>
                </c:pt>
                <c:pt idx="10">
                  <c:v>1983年度</c:v>
                </c:pt>
                <c:pt idx="11">
                  <c:v>1984年度</c:v>
                </c:pt>
                <c:pt idx="12">
                  <c:v>1985年度</c:v>
                </c:pt>
                <c:pt idx="13">
                  <c:v>1986年度</c:v>
                </c:pt>
                <c:pt idx="14">
                  <c:v>1987年度</c:v>
                </c:pt>
                <c:pt idx="15">
                  <c:v>1988年度</c:v>
                </c:pt>
                <c:pt idx="16">
                  <c:v>1989年度</c:v>
                </c:pt>
                <c:pt idx="17">
                  <c:v>1990年度</c:v>
                </c:pt>
                <c:pt idx="18">
                  <c:v>1991年度</c:v>
                </c:pt>
                <c:pt idx="19">
                  <c:v>1992年度</c:v>
                </c:pt>
                <c:pt idx="20">
                  <c:v>1993年度</c:v>
                </c:pt>
                <c:pt idx="21">
                  <c:v>1994年度</c:v>
                </c:pt>
                <c:pt idx="22">
                  <c:v>1995年度</c:v>
                </c:pt>
                <c:pt idx="23">
                  <c:v>1996年度</c:v>
                </c:pt>
                <c:pt idx="24">
                  <c:v>1997年度</c:v>
                </c:pt>
                <c:pt idx="25">
                  <c:v>1998年度</c:v>
                </c:pt>
                <c:pt idx="26">
                  <c:v>1999年度</c:v>
                </c:pt>
                <c:pt idx="27">
                  <c:v>2000年度</c:v>
                </c:pt>
                <c:pt idx="28">
                  <c:v>2001年度</c:v>
                </c:pt>
                <c:pt idx="29">
                  <c:v>2002年度</c:v>
                </c:pt>
                <c:pt idx="30">
                  <c:v>2003年度</c:v>
                </c:pt>
                <c:pt idx="31">
                  <c:v>2004年度</c:v>
                </c:pt>
                <c:pt idx="32">
                  <c:v>2005年度</c:v>
                </c:pt>
                <c:pt idx="33">
                  <c:v>2006年度</c:v>
                </c:pt>
                <c:pt idx="34">
                  <c:v>2007年度</c:v>
                </c:pt>
                <c:pt idx="35">
                  <c:v>2008年度</c:v>
                </c:pt>
                <c:pt idx="36">
                  <c:v>2009年度</c:v>
                </c:pt>
                <c:pt idx="37">
                  <c:v>2010年度</c:v>
                </c:pt>
                <c:pt idx="38">
                  <c:v>2011年度</c:v>
                </c:pt>
                <c:pt idx="39">
                  <c:v>2012年度</c:v>
                </c:pt>
                <c:pt idx="40">
                  <c:v>2013年度</c:v>
                </c:pt>
                <c:pt idx="41">
                  <c:v>2014年度</c:v>
                </c:pt>
                <c:pt idx="42">
                  <c:v>2015年度</c:v>
                </c:pt>
                <c:pt idx="43">
                  <c:v>2016年度</c:v>
                </c:pt>
                <c:pt idx="44">
                  <c:v>2017年度</c:v>
                </c:pt>
                <c:pt idx="45">
                  <c:v>2018年度</c:v>
                </c:pt>
              </c:strCache>
            </c:strRef>
          </c:cat>
          <c:val>
            <c:numRef>
              <c:f>主要経営指標グラフ!$B$46:$AU$46</c:f>
              <c:numCache>
                <c:formatCode>#,##0;"△ "#,##0</c:formatCode>
                <c:ptCount val="46"/>
                <c:pt idx="0">
                  <c:v>1023263</c:v>
                </c:pt>
                <c:pt idx="1">
                  <c:v>-274578</c:v>
                </c:pt>
                <c:pt idx="2">
                  <c:v>-1115229</c:v>
                </c:pt>
                <c:pt idx="3">
                  <c:v>1116811</c:v>
                </c:pt>
                <c:pt idx="4">
                  <c:v>1902455</c:v>
                </c:pt>
                <c:pt idx="5">
                  <c:v>3429534</c:v>
                </c:pt>
                <c:pt idx="6">
                  <c:v>4947427</c:v>
                </c:pt>
                <c:pt idx="7">
                  <c:v>4248385</c:v>
                </c:pt>
                <c:pt idx="8">
                  <c:v>10528944</c:v>
                </c:pt>
                <c:pt idx="9">
                  <c:v>10910974</c:v>
                </c:pt>
                <c:pt idx="10">
                  <c:v>18400800</c:v>
                </c:pt>
                <c:pt idx="11">
                  <c:v>23809389</c:v>
                </c:pt>
                <c:pt idx="12">
                  <c:v>27990639</c:v>
                </c:pt>
                <c:pt idx="13">
                  <c:v>30521619</c:v>
                </c:pt>
                <c:pt idx="14">
                  <c:v>114250820</c:v>
                </c:pt>
                <c:pt idx="15">
                  <c:v>132086644</c:v>
                </c:pt>
                <c:pt idx="16">
                  <c:v>146491627</c:v>
                </c:pt>
                <c:pt idx="17">
                  <c:v>157922956</c:v>
                </c:pt>
                <c:pt idx="18">
                  <c:v>178004019</c:v>
                </c:pt>
                <c:pt idx="19">
                  <c:v>221116551</c:v>
                </c:pt>
                <c:pt idx="20">
                  <c:v>281344958</c:v>
                </c:pt>
                <c:pt idx="21">
                  <c:v>325373699</c:v>
                </c:pt>
                <c:pt idx="22">
                  <c:v>388986948</c:v>
                </c:pt>
                <c:pt idx="23">
                  <c:v>457804509</c:v>
                </c:pt>
                <c:pt idx="24">
                  <c:v>540157064</c:v>
                </c:pt>
                <c:pt idx="25">
                  <c:v>624402689</c:v>
                </c:pt>
                <c:pt idx="26">
                  <c:v>718882730</c:v>
                </c:pt>
                <c:pt idx="27">
                  <c:v>819505673</c:v>
                </c:pt>
                <c:pt idx="28">
                  <c:v>932090928</c:v>
                </c:pt>
                <c:pt idx="29">
                  <c:v>1146737877</c:v>
                </c:pt>
                <c:pt idx="30">
                  <c:v>1339424319</c:v>
                </c:pt>
                <c:pt idx="31">
                  <c:v>1457302696</c:v>
                </c:pt>
                <c:pt idx="32">
                  <c:v>1499838625</c:v>
                </c:pt>
                <c:pt idx="33">
                  <c:v>1596303554</c:v>
                </c:pt>
                <c:pt idx="34">
                  <c:v>1609621203</c:v>
                </c:pt>
                <c:pt idx="35">
                  <c:v>1540858734</c:v>
                </c:pt>
                <c:pt idx="36">
                  <c:v>1517377544</c:v>
                </c:pt>
                <c:pt idx="37">
                  <c:v>1244911663</c:v>
                </c:pt>
                <c:pt idx="38">
                  <c:v>1457564185</c:v>
                </c:pt>
                <c:pt idx="39">
                  <c:v>875677770</c:v>
                </c:pt>
                <c:pt idx="40">
                  <c:v>1418699392</c:v>
                </c:pt>
                <c:pt idx="41">
                  <c:v>1450195859</c:v>
                </c:pt>
                <c:pt idx="42">
                  <c:v>1524884038</c:v>
                </c:pt>
                <c:pt idx="43">
                  <c:v>1479328240</c:v>
                </c:pt>
                <c:pt idx="44">
                  <c:v>1471263289</c:v>
                </c:pt>
                <c:pt idx="45">
                  <c:v>1480849858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E7-47A7-B6F2-6A5D2C916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309376"/>
        <c:axId val="433304456"/>
      </c:barChart>
      <c:lineChart>
        <c:grouping val="standard"/>
        <c:varyColors val="0"/>
        <c:ser>
          <c:idx val="2"/>
          <c:order val="2"/>
          <c:tx>
            <c:strRef>
              <c:f>主要経営指標グラフ!$A$47</c:f>
              <c:strCache>
                <c:ptCount val="1"/>
                <c:pt idx="0">
                  <c:v>自己資本比率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主要経営指標グラフ!$B$40:$AU$40</c:f>
              <c:strCache>
                <c:ptCount val="46"/>
                <c:pt idx="0">
                  <c:v>1971年度</c:v>
                </c:pt>
                <c:pt idx="1">
                  <c:v>1974年度</c:v>
                </c:pt>
                <c:pt idx="2">
                  <c:v>1975年度</c:v>
                </c:pt>
                <c:pt idx="3">
                  <c:v>1976年度</c:v>
                </c:pt>
                <c:pt idx="4">
                  <c:v>1977年度</c:v>
                </c:pt>
                <c:pt idx="5">
                  <c:v>1978年度</c:v>
                </c:pt>
                <c:pt idx="6">
                  <c:v>1979年度</c:v>
                </c:pt>
                <c:pt idx="7">
                  <c:v>1980年度</c:v>
                </c:pt>
                <c:pt idx="8">
                  <c:v>1981年度</c:v>
                </c:pt>
                <c:pt idx="9">
                  <c:v>1982年度</c:v>
                </c:pt>
                <c:pt idx="10">
                  <c:v>1983年度</c:v>
                </c:pt>
                <c:pt idx="11">
                  <c:v>1984年度</c:v>
                </c:pt>
                <c:pt idx="12">
                  <c:v>1985年度</c:v>
                </c:pt>
                <c:pt idx="13">
                  <c:v>1986年度</c:v>
                </c:pt>
                <c:pt idx="14">
                  <c:v>1987年度</c:v>
                </c:pt>
                <c:pt idx="15">
                  <c:v>1988年度</c:v>
                </c:pt>
                <c:pt idx="16">
                  <c:v>1989年度</c:v>
                </c:pt>
                <c:pt idx="17">
                  <c:v>1990年度</c:v>
                </c:pt>
                <c:pt idx="18">
                  <c:v>1991年度</c:v>
                </c:pt>
                <c:pt idx="19">
                  <c:v>1992年度</c:v>
                </c:pt>
                <c:pt idx="20">
                  <c:v>1993年度</c:v>
                </c:pt>
                <c:pt idx="21">
                  <c:v>1994年度</c:v>
                </c:pt>
                <c:pt idx="22">
                  <c:v>1995年度</c:v>
                </c:pt>
                <c:pt idx="23">
                  <c:v>1996年度</c:v>
                </c:pt>
                <c:pt idx="24">
                  <c:v>1997年度</c:v>
                </c:pt>
                <c:pt idx="25">
                  <c:v>1998年度</c:v>
                </c:pt>
                <c:pt idx="26">
                  <c:v>1999年度</c:v>
                </c:pt>
                <c:pt idx="27">
                  <c:v>2000年度</c:v>
                </c:pt>
                <c:pt idx="28">
                  <c:v>2001年度</c:v>
                </c:pt>
                <c:pt idx="29">
                  <c:v>2002年度</c:v>
                </c:pt>
                <c:pt idx="30">
                  <c:v>2003年度</c:v>
                </c:pt>
                <c:pt idx="31">
                  <c:v>2004年度</c:v>
                </c:pt>
                <c:pt idx="32">
                  <c:v>2005年度</c:v>
                </c:pt>
                <c:pt idx="33">
                  <c:v>2006年度</c:v>
                </c:pt>
                <c:pt idx="34">
                  <c:v>2007年度</c:v>
                </c:pt>
                <c:pt idx="35">
                  <c:v>2008年度</c:v>
                </c:pt>
                <c:pt idx="36">
                  <c:v>2009年度</c:v>
                </c:pt>
                <c:pt idx="37">
                  <c:v>2010年度</c:v>
                </c:pt>
                <c:pt idx="38">
                  <c:v>2011年度</c:v>
                </c:pt>
                <c:pt idx="39">
                  <c:v>2012年度</c:v>
                </c:pt>
                <c:pt idx="40">
                  <c:v>2013年度</c:v>
                </c:pt>
                <c:pt idx="41">
                  <c:v>2014年度</c:v>
                </c:pt>
                <c:pt idx="42">
                  <c:v>2015年度</c:v>
                </c:pt>
                <c:pt idx="43">
                  <c:v>2016年度</c:v>
                </c:pt>
                <c:pt idx="44">
                  <c:v>2017年度</c:v>
                </c:pt>
                <c:pt idx="45">
                  <c:v>2018年度</c:v>
                </c:pt>
              </c:strCache>
            </c:strRef>
          </c:cat>
          <c:val>
            <c:numRef>
              <c:f>主要経営指標グラフ!$B$47:$AU$47</c:f>
              <c:numCache>
                <c:formatCode>0.00%</c:formatCode>
                <c:ptCount val="46"/>
                <c:pt idx="0">
                  <c:v>1.6423906515974723E-2</c:v>
                </c:pt>
                <c:pt idx="1">
                  <c:v>-6.9009609139072088E-3</c:v>
                </c:pt>
                <c:pt idx="2">
                  <c:v>-2.4787505786082898E-2</c:v>
                </c:pt>
                <c:pt idx="3">
                  <c:v>1.8998053092979483E-2</c:v>
                </c:pt>
                <c:pt idx="4">
                  <c:v>1.7276261917304327E-2</c:v>
                </c:pt>
                <c:pt idx="5">
                  <c:v>3.6060776826917371E-2</c:v>
                </c:pt>
                <c:pt idx="6">
                  <c:v>5.4911259487093633E-2</c:v>
                </c:pt>
                <c:pt idx="7">
                  <c:v>2.1278857649278973E-2</c:v>
                </c:pt>
                <c:pt idx="8">
                  <c:v>3.5215063674953223E-2</c:v>
                </c:pt>
                <c:pt idx="9">
                  <c:v>2.5272973900277541E-2</c:v>
                </c:pt>
                <c:pt idx="10">
                  <c:v>3.5481765741487453E-2</c:v>
                </c:pt>
                <c:pt idx="11">
                  <c:v>3.475676644678017E-2</c:v>
                </c:pt>
                <c:pt idx="12">
                  <c:v>3.9071199160846296E-2</c:v>
                </c:pt>
                <c:pt idx="13">
                  <c:v>4.6318798495946917E-2</c:v>
                </c:pt>
                <c:pt idx="14">
                  <c:v>0.10760971516065418</c:v>
                </c:pt>
                <c:pt idx="15">
                  <c:v>0.10651675285661276</c:v>
                </c:pt>
                <c:pt idx="16">
                  <c:v>9.9466871164498219E-2</c:v>
                </c:pt>
                <c:pt idx="17">
                  <c:v>9.5699724068415384E-2</c:v>
                </c:pt>
                <c:pt idx="18">
                  <c:v>8.9949443889229444E-2</c:v>
                </c:pt>
                <c:pt idx="19">
                  <c:v>9.4629724680154945E-2</c:v>
                </c:pt>
                <c:pt idx="20">
                  <c:v>0.10470933525864903</c:v>
                </c:pt>
                <c:pt idx="21">
                  <c:v>0.1035601044410097</c:v>
                </c:pt>
                <c:pt idx="22">
                  <c:v>0.119898379773071</c:v>
                </c:pt>
                <c:pt idx="23">
                  <c:v>0.122304235654006</c:v>
                </c:pt>
                <c:pt idx="24">
                  <c:v>0.12891276838115268</c:v>
                </c:pt>
                <c:pt idx="25">
                  <c:v>0.14445632522940233</c:v>
                </c:pt>
                <c:pt idx="26">
                  <c:v>0.14923067332847262</c:v>
                </c:pt>
                <c:pt idx="27">
                  <c:v>0.14537754826772831</c:v>
                </c:pt>
                <c:pt idx="28">
                  <c:v>0.14711266296911871</c:v>
                </c:pt>
                <c:pt idx="29">
                  <c:v>0.15891748520775734</c:v>
                </c:pt>
                <c:pt idx="30">
                  <c:v>0.17174933403471851</c:v>
                </c:pt>
                <c:pt idx="31">
                  <c:v>0.17810153989899588</c:v>
                </c:pt>
                <c:pt idx="32">
                  <c:v>0.18636261092237374</c:v>
                </c:pt>
                <c:pt idx="33">
                  <c:v>0.20918813293609784</c:v>
                </c:pt>
                <c:pt idx="34">
                  <c:v>0.220498708197608</c:v>
                </c:pt>
                <c:pt idx="35">
                  <c:v>0.23332878576590763</c:v>
                </c:pt>
                <c:pt idx="36">
                  <c:v>0.2464448251122853</c:v>
                </c:pt>
                <c:pt idx="37">
                  <c:v>0.22979808441195904</c:v>
                </c:pt>
                <c:pt idx="38">
                  <c:v>0.27868694313667774</c:v>
                </c:pt>
                <c:pt idx="39">
                  <c:v>0.18497697516643311</c:v>
                </c:pt>
                <c:pt idx="40">
                  <c:v>0.34685240392425298</c:v>
                </c:pt>
                <c:pt idx="41">
                  <c:v>0.37872410471860662</c:v>
                </c:pt>
                <c:pt idx="42">
                  <c:v>0.43898048008083762</c:v>
                </c:pt>
                <c:pt idx="43">
                  <c:v>0.47100037936282013</c:v>
                </c:pt>
                <c:pt idx="44">
                  <c:v>0.51686448465391122</c:v>
                </c:pt>
                <c:pt idx="45">
                  <c:v>0.56631421677242944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E7-47A7-B6F2-6A5D2C916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12656"/>
        <c:axId val="433312328"/>
      </c:lineChart>
      <c:catAx>
        <c:axId val="43330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3304456"/>
        <c:crosses val="autoZero"/>
        <c:auto val="1"/>
        <c:lblAlgn val="ctr"/>
        <c:lblOffset val="100"/>
        <c:noMultiLvlLbl val="0"/>
      </c:catAx>
      <c:valAx>
        <c:axId val="433304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3309376"/>
        <c:crosses val="autoZero"/>
        <c:crossBetween val="between"/>
      </c:valAx>
      <c:valAx>
        <c:axId val="43331232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3312656"/>
        <c:crosses val="max"/>
        <c:crossBetween val="between"/>
      </c:valAx>
      <c:catAx>
        <c:axId val="43331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3312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[1]図４!$A$5</c:f>
              <c:strCache>
                <c:ptCount val="1"/>
                <c:pt idx="0">
                  <c:v>出資金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[1]図４!$B$4:$AN$4</c:f>
              <c:strCache>
                <c:ptCount val="39"/>
                <c:pt idx="0">
                  <c:v>1981年</c:v>
                </c:pt>
                <c:pt idx="1">
                  <c:v>1982年</c:v>
                </c:pt>
                <c:pt idx="2">
                  <c:v>1983年</c:v>
                </c:pt>
                <c:pt idx="3">
                  <c:v>1984年</c:v>
                </c:pt>
                <c:pt idx="4">
                  <c:v>1985年</c:v>
                </c:pt>
                <c:pt idx="5">
                  <c:v>1986年</c:v>
                </c:pt>
                <c:pt idx="6">
                  <c:v>1987年</c:v>
                </c:pt>
                <c:pt idx="7">
                  <c:v>1988年</c:v>
                </c:pt>
                <c:pt idx="8">
                  <c:v>1989年</c:v>
                </c:pt>
                <c:pt idx="9">
                  <c:v>1990年</c:v>
                </c:pt>
                <c:pt idx="10">
                  <c:v>1991年</c:v>
                </c:pt>
                <c:pt idx="11">
                  <c:v>1992年</c:v>
                </c:pt>
                <c:pt idx="12">
                  <c:v>1993年</c:v>
                </c:pt>
                <c:pt idx="13">
                  <c:v>1994年</c:v>
                </c:pt>
                <c:pt idx="14">
                  <c:v>1995年</c:v>
                </c:pt>
                <c:pt idx="15">
                  <c:v>1996年</c:v>
                </c:pt>
                <c:pt idx="16">
                  <c:v>1997年</c:v>
                </c:pt>
                <c:pt idx="17">
                  <c:v>1998年</c:v>
                </c:pt>
                <c:pt idx="18">
                  <c:v>1999年</c:v>
                </c:pt>
                <c:pt idx="19">
                  <c:v>2000年</c:v>
                </c:pt>
                <c:pt idx="20">
                  <c:v>2001年</c:v>
                </c:pt>
                <c:pt idx="21">
                  <c:v>2002年</c:v>
                </c:pt>
                <c:pt idx="22">
                  <c:v>2003年</c:v>
                </c:pt>
                <c:pt idx="23">
                  <c:v>2004年</c:v>
                </c:pt>
                <c:pt idx="24">
                  <c:v>2005年</c:v>
                </c:pt>
                <c:pt idx="25">
                  <c:v>2006年</c:v>
                </c:pt>
                <c:pt idx="26">
                  <c:v>2007年</c:v>
                </c:pt>
                <c:pt idx="27">
                  <c:v>2008年</c:v>
                </c:pt>
                <c:pt idx="28">
                  <c:v>2009年</c:v>
                </c:pt>
                <c:pt idx="29">
                  <c:v>2010年</c:v>
                </c:pt>
                <c:pt idx="30">
                  <c:v>2011年</c:v>
                </c:pt>
                <c:pt idx="31">
                  <c:v>2012年</c:v>
                </c:pt>
                <c:pt idx="32">
                  <c:v>2013年</c:v>
                </c:pt>
                <c:pt idx="33">
                  <c:v>2014年</c:v>
                </c:pt>
                <c:pt idx="34">
                  <c:v>2015年</c:v>
                </c:pt>
                <c:pt idx="35">
                  <c:v>2016年</c:v>
                </c:pt>
                <c:pt idx="36">
                  <c:v>2017年</c:v>
                </c:pt>
                <c:pt idx="37">
                  <c:v>2018年</c:v>
                </c:pt>
                <c:pt idx="38">
                  <c:v>2019年</c:v>
                </c:pt>
              </c:strCache>
            </c:strRef>
          </c:cat>
          <c:val>
            <c:numRef>
              <c:f>[1]図４!$B$5:$AN$5</c:f>
              <c:numCache>
                <c:formatCode>General</c:formatCode>
                <c:ptCount val="39"/>
                <c:pt idx="0">
                  <c:v>2808000</c:v>
                </c:pt>
                <c:pt idx="1">
                  <c:v>5998500</c:v>
                </c:pt>
                <c:pt idx="2">
                  <c:v>11698969</c:v>
                </c:pt>
                <c:pt idx="3">
                  <c:v>18147500</c:v>
                </c:pt>
                <c:pt idx="4">
                  <c:v>21274000</c:v>
                </c:pt>
                <c:pt idx="5">
                  <c:v>24246331</c:v>
                </c:pt>
                <c:pt idx="6">
                  <c:v>106193674</c:v>
                </c:pt>
                <c:pt idx="7">
                  <c:v>117599803</c:v>
                </c:pt>
                <c:pt idx="8">
                  <c:v>131227450</c:v>
                </c:pt>
                <c:pt idx="9">
                  <c:v>138978980</c:v>
                </c:pt>
                <c:pt idx="10">
                  <c:v>160903445</c:v>
                </c:pt>
                <c:pt idx="11">
                  <c:v>181076991</c:v>
                </c:pt>
                <c:pt idx="12">
                  <c:v>222661591</c:v>
                </c:pt>
                <c:pt idx="13">
                  <c:v>256665890</c:v>
                </c:pt>
                <c:pt idx="14">
                  <c:v>281799053</c:v>
                </c:pt>
                <c:pt idx="15">
                  <c:v>325628242</c:v>
                </c:pt>
                <c:pt idx="16">
                  <c:v>359110500</c:v>
                </c:pt>
                <c:pt idx="17">
                  <c:v>400766500</c:v>
                </c:pt>
                <c:pt idx="18">
                  <c:v>456753500</c:v>
                </c:pt>
                <c:pt idx="19">
                  <c:v>526283000</c:v>
                </c:pt>
                <c:pt idx="20">
                  <c:v>610693000</c:v>
                </c:pt>
                <c:pt idx="21">
                  <c:v>767294500</c:v>
                </c:pt>
                <c:pt idx="22">
                  <c:v>898358000</c:v>
                </c:pt>
                <c:pt idx="23">
                  <c:v>998373500</c:v>
                </c:pt>
                <c:pt idx="24">
                  <c:v>1014793500</c:v>
                </c:pt>
                <c:pt idx="25">
                  <c:v>1063673000</c:v>
                </c:pt>
                <c:pt idx="26">
                  <c:v>1073210000</c:v>
                </c:pt>
                <c:pt idx="27">
                  <c:v>944397500</c:v>
                </c:pt>
                <c:pt idx="28">
                  <c:v>910822500</c:v>
                </c:pt>
                <c:pt idx="29">
                  <c:v>882198500</c:v>
                </c:pt>
                <c:pt idx="30">
                  <c:v>857604500</c:v>
                </c:pt>
                <c:pt idx="31">
                  <c:v>813657000</c:v>
                </c:pt>
                <c:pt idx="32">
                  <c:v>783969000</c:v>
                </c:pt>
                <c:pt idx="33">
                  <c:v>768776000</c:v>
                </c:pt>
                <c:pt idx="34">
                  <c:v>815266000</c:v>
                </c:pt>
                <c:pt idx="35">
                  <c:v>757387000</c:v>
                </c:pt>
                <c:pt idx="36">
                  <c:v>730070000</c:v>
                </c:pt>
                <c:pt idx="37">
                  <c:v>700307500</c:v>
                </c:pt>
                <c:pt idx="38">
                  <c:v>676823000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0-4FDE-A3E3-8692895472EC}"/>
            </c:ext>
          </c:extLst>
        </c:ser>
        <c:ser>
          <c:idx val="1"/>
          <c:order val="1"/>
          <c:tx>
            <c:strRef>
              <c:f>[1]図４!$A$6</c:f>
              <c:strCache>
                <c:ptCount val="1"/>
                <c:pt idx="0">
                  <c:v>剰余金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[1]図４!$B$4:$AN$4</c:f>
              <c:strCache>
                <c:ptCount val="39"/>
                <c:pt idx="0">
                  <c:v>1981年</c:v>
                </c:pt>
                <c:pt idx="1">
                  <c:v>1982年</c:v>
                </c:pt>
                <c:pt idx="2">
                  <c:v>1983年</c:v>
                </c:pt>
                <c:pt idx="3">
                  <c:v>1984年</c:v>
                </c:pt>
                <c:pt idx="4">
                  <c:v>1985年</c:v>
                </c:pt>
                <c:pt idx="5">
                  <c:v>1986年</c:v>
                </c:pt>
                <c:pt idx="6">
                  <c:v>1987年</c:v>
                </c:pt>
                <c:pt idx="7">
                  <c:v>1988年</c:v>
                </c:pt>
                <c:pt idx="8">
                  <c:v>1989年</c:v>
                </c:pt>
                <c:pt idx="9">
                  <c:v>1990年</c:v>
                </c:pt>
                <c:pt idx="10">
                  <c:v>1991年</c:v>
                </c:pt>
                <c:pt idx="11">
                  <c:v>1992年</c:v>
                </c:pt>
                <c:pt idx="12">
                  <c:v>1993年</c:v>
                </c:pt>
                <c:pt idx="13">
                  <c:v>1994年</c:v>
                </c:pt>
                <c:pt idx="14">
                  <c:v>1995年</c:v>
                </c:pt>
                <c:pt idx="15">
                  <c:v>1996年</c:v>
                </c:pt>
                <c:pt idx="16">
                  <c:v>1997年</c:v>
                </c:pt>
                <c:pt idx="17">
                  <c:v>1998年</c:v>
                </c:pt>
                <c:pt idx="18">
                  <c:v>1999年</c:v>
                </c:pt>
                <c:pt idx="19">
                  <c:v>2000年</c:v>
                </c:pt>
                <c:pt idx="20">
                  <c:v>2001年</c:v>
                </c:pt>
                <c:pt idx="21">
                  <c:v>2002年</c:v>
                </c:pt>
                <c:pt idx="22">
                  <c:v>2003年</c:v>
                </c:pt>
                <c:pt idx="23">
                  <c:v>2004年</c:v>
                </c:pt>
                <c:pt idx="24">
                  <c:v>2005年</c:v>
                </c:pt>
                <c:pt idx="25">
                  <c:v>2006年</c:v>
                </c:pt>
                <c:pt idx="26">
                  <c:v>2007年</c:v>
                </c:pt>
                <c:pt idx="27">
                  <c:v>2008年</c:v>
                </c:pt>
                <c:pt idx="28">
                  <c:v>2009年</c:v>
                </c:pt>
                <c:pt idx="29">
                  <c:v>2010年</c:v>
                </c:pt>
                <c:pt idx="30">
                  <c:v>2011年</c:v>
                </c:pt>
                <c:pt idx="31">
                  <c:v>2012年</c:v>
                </c:pt>
                <c:pt idx="32">
                  <c:v>2013年</c:v>
                </c:pt>
                <c:pt idx="33">
                  <c:v>2014年</c:v>
                </c:pt>
                <c:pt idx="34">
                  <c:v>2015年</c:v>
                </c:pt>
                <c:pt idx="35">
                  <c:v>2016年</c:v>
                </c:pt>
                <c:pt idx="36">
                  <c:v>2017年</c:v>
                </c:pt>
                <c:pt idx="37">
                  <c:v>2018年</c:v>
                </c:pt>
                <c:pt idx="38">
                  <c:v>2019年</c:v>
                </c:pt>
              </c:strCache>
            </c:strRef>
          </c:cat>
          <c:val>
            <c:numRef>
              <c:f>[1]図４!$B$6:$AN$6</c:f>
              <c:numCache>
                <c:formatCode>General</c:formatCode>
                <c:ptCount val="39"/>
                <c:pt idx="0">
                  <c:v>7720944</c:v>
                </c:pt>
                <c:pt idx="1">
                  <c:v>4912474</c:v>
                </c:pt>
                <c:pt idx="2">
                  <c:v>6701831</c:v>
                </c:pt>
                <c:pt idx="3">
                  <c:v>5661889</c:v>
                </c:pt>
                <c:pt idx="4">
                  <c:v>6716639</c:v>
                </c:pt>
                <c:pt idx="5">
                  <c:v>6275288</c:v>
                </c:pt>
                <c:pt idx="6">
                  <c:v>8057146</c:v>
                </c:pt>
                <c:pt idx="7">
                  <c:v>14486841</c:v>
                </c:pt>
                <c:pt idx="8">
                  <c:v>15264177</c:v>
                </c:pt>
                <c:pt idx="9">
                  <c:v>18943976</c:v>
                </c:pt>
                <c:pt idx="10">
                  <c:v>17100574</c:v>
                </c:pt>
                <c:pt idx="11">
                  <c:v>40039560</c:v>
                </c:pt>
                <c:pt idx="12">
                  <c:v>58683367</c:v>
                </c:pt>
                <c:pt idx="13">
                  <c:v>68707809</c:v>
                </c:pt>
                <c:pt idx="14">
                  <c:v>107187895</c:v>
                </c:pt>
                <c:pt idx="15">
                  <c:v>132176267</c:v>
                </c:pt>
                <c:pt idx="16">
                  <c:v>181046564</c:v>
                </c:pt>
                <c:pt idx="17">
                  <c:v>223636189</c:v>
                </c:pt>
                <c:pt idx="18">
                  <c:v>262129230</c:v>
                </c:pt>
                <c:pt idx="19">
                  <c:v>293222673</c:v>
                </c:pt>
                <c:pt idx="20">
                  <c:v>321397928</c:v>
                </c:pt>
                <c:pt idx="21">
                  <c:v>379443377</c:v>
                </c:pt>
                <c:pt idx="22">
                  <c:v>441066319</c:v>
                </c:pt>
                <c:pt idx="23">
                  <c:v>458929196</c:v>
                </c:pt>
                <c:pt idx="24">
                  <c:v>485045125</c:v>
                </c:pt>
                <c:pt idx="25">
                  <c:v>532630554</c:v>
                </c:pt>
                <c:pt idx="26">
                  <c:v>536411203</c:v>
                </c:pt>
                <c:pt idx="27">
                  <c:v>596461234</c:v>
                </c:pt>
                <c:pt idx="28">
                  <c:v>606555044</c:v>
                </c:pt>
                <c:pt idx="29">
                  <c:v>362713163</c:v>
                </c:pt>
                <c:pt idx="30">
                  <c:v>599959685</c:v>
                </c:pt>
                <c:pt idx="31">
                  <c:v>623020770</c:v>
                </c:pt>
                <c:pt idx="32">
                  <c:v>634730392</c:v>
                </c:pt>
                <c:pt idx="33">
                  <c:v>681419859</c:v>
                </c:pt>
                <c:pt idx="34">
                  <c:v>709618038</c:v>
                </c:pt>
                <c:pt idx="35">
                  <c:v>721941240</c:v>
                </c:pt>
                <c:pt idx="36">
                  <c:v>741193289</c:v>
                </c:pt>
                <c:pt idx="37">
                  <c:v>780542358</c:v>
                </c:pt>
                <c:pt idx="38">
                  <c:v>794524901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0-4FDE-A3E3-869289547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5843336"/>
        <c:axId val="1095843656"/>
      </c:lineChart>
      <c:catAx>
        <c:axId val="1095843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5843656"/>
        <c:crosses val="autoZero"/>
        <c:auto val="1"/>
        <c:lblAlgn val="ctr"/>
        <c:lblOffset val="100"/>
        <c:noMultiLvlLbl val="0"/>
      </c:catAx>
      <c:valAx>
        <c:axId val="109584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5843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期末残高推移グラフ!$A$164</c:f>
              <c:strCache>
                <c:ptCount val="1"/>
                <c:pt idx="0">
                  <c:v>スイッチローン・生活再建資金</c:v>
                </c:pt>
              </c:strCache>
            </c:strRef>
          </c:tx>
          <c:spPr>
            <a:solidFill>
              <a:schemeClr val="accent3">
                <a:shade val="65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期末残高推移グラフ!$W$163:$AH$163</c:f>
              <c:strCache>
                <c:ptCount val="12"/>
                <c:pt idx="0">
                  <c:v>平成7年度(1995)</c:v>
                </c:pt>
                <c:pt idx="1">
                  <c:v>平成8年度(1996)</c:v>
                </c:pt>
                <c:pt idx="2">
                  <c:v>平成9年度(1997)</c:v>
                </c:pt>
                <c:pt idx="3">
                  <c:v>平成10年度(1998)</c:v>
                </c:pt>
                <c:pt idx="4">
                  <c:v>平成11年度(1999)</c:v>
                </c:pt>
                <c:pt idx="5">
                  <c:v>平成12年度(2000)</c:v>
                </c:pt>
                <c:pt idx="6">
                  <c:v>平成13年度(2001)</c:v>
                </c:pt>
                <c:pt idx="7">
                  <c:v>平成14年度(2002)</c:v>
                </c:pt>
                <c:pt idx="8">
                  <c:v>平成15年(2003)</c:v>
                </c:pt>
                <c:pt idx="9">
                  <c:v>平成16年(2004)</c:v>
                </c:pt>
                <c:pt idx="10">
                  <c:v>平成17年度(2005)</c:v>
                </c:pt>
                <c:pt idx="11">
                  <c:v>平成18年度(2006)</c:v>
                </c:pt>
              </c:strCache>
            </c:strRef>
          </c:cat>
          <c:val>
            <c:numRef>
              <c:f>期末残高推移グラフ!$W$164:$AH$164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2871638236</c:v>
                </c:pt>
                <c:pt idx="4">
                  <c:v>3260442046</c:v>
                </c:pt>
                <c:pt idx="5">
                  <c:v>4053059089</c:v>
                </c:pt>
                <c:pt idx="6">
                  <c:v>4718433680</c:v>
                </c:pt>
                <c:pt idx="7">
                  <c:v>5378380512</c:v>
                </c:pt>
                <c:pt idx="8">
                  <c:v>5912711062</c:v>
                </c:pt>
                <c:pt idx="9">
                  <c:v>6105431026</c:v>
                </c:pt>
                <c:pt idx="10">
                  <c:v>5947502702</c:v>
                </c:pt>
                <c:pt idx="11">
                  <c:v>5695407264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42-4FEC-ACF1-647417FF545C}"/>
            </c:ext>
          </c:extLst>
        </c:ser>
        <c:ser>
          <c:idx val="1"/>
          <c:order val="1"/>
          <c:tx>
            <c:strRef>
              <c:f>期末残高推移グラフ!$A$165</c:f>
              <c:strCache>
                <c:ptCount val="1"/>
                <c:pt idx="0">
                  <c:v>共済会関連貸付</c:v>
                </c:pt>
              </c:strCache>
            </c:strRef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期末残高推移グラフ!$W$163:$AH$163</c:f>
              <c:strCache>
                <c:ptCount val="12"/>
                <c:pt idx="0">
                  <c:v>平成7年度(1995)</c:v>
                </c:pt>
                <c:pt idx="1">
                  <c:v>平成8年度(1996)</c:v>
                </c:pt>
                <c:pt idx="2">
                  <c:v>平成9年度(1997)</c:v>
                </c:pt>
                <c:pt idx="3">
                  <c:v>平成10年度(1998)</c:v>
                </c:pt>
                <c:pt idx="4">
                  <c:v>平成11年度(1999)</c:v>
                </c:pt>
                <c:pt idx="5">
                  <c:v>平成12年度(2000)</c:v>
                </c:pt>
                <c:pt idx="6">
                  <c:v>平成13年度(2001)</c:v>
                </c:pt>
                <c:pt idx="7">
                  <c:v>平成14年度(2002)</c:v>
                </c:pt>
                <c:pt idx="8">
                  <c:v>平成15年(2003)</c:v>
                </c:pt>
                <c:pt idx="9">
                  <c:v>平成16年(2004)</c:v>
                </c:pt>
                <c:pt idx="10">
                  <c:v>平成17年度(2005)</c:v>
                </c:pt>
                <c:pt idx="11">
                  <c:v>平成18年度(2006)</c:v>
                </c:pt>
              </c:strCache>
            </c:strRef>
          </c:cat>
          <c:val>
            <c:numRef>
              <c:f>期末残高推移グラフ!$W$165:$AH$165</c:f>
              <c:numCache>
                <c:formatCode>#,##0_ </c:formatCode>
                <c:ptCount val="12"/>
                <c:pt idx="0">
                  <c:v>372127378</c:v>
                </c:pt>
                <c:pt idx="1">
                  <c:v>376727076</c:v>
                </c:pt>
                <c:pt idx="2">
                  <c:v>360890575</c:v>
                </c:pt>
                <c:pt idx="3">
                  <c:v>138409562</c:v>
                </c:pt>
                <c:pt idx="4">
                  <c:v>99585678</c:v>
                </c:pt>
                <c:pt idx="5">
                  <c:v>91504871</c:v>
                </c:pt>
                <c:pt idx="6">
                  <c:v>78158233</c:v>
                </c:pt>
                <c:pt idx="7">
                  <c:v>65164621</c:v>
                </c:pt>
                <c:pt idx="8">
                  <c:v>54722975</c:v>
                </c:pt>
                <c:pt idx="9">
                  <c:v>43555953</c:v>
                </c:pt>
                <c:pt idx="10">
                  <c:v>43598697</c:v>
                </c:pt>
                <c:pt idx="11">
                  <c:v>43774405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42-4FEC-ACF1-647417FF545C}"/>
            </c:ext>
          </c:extLst>
        </c:ser>
        <c:ser>
          <c:idx val="2"/>
          <c:order val="2"/>
          <c:tx>
            <c:strRef>
              <c:f>期末残高推移グラフ!$A$166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>
                <a:tint val="65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期末残高推移グラフ!$W$163:$AH$163</c:f>
              <c:strCache>
                <c:ptCount val="12"/>
                <c:pt idx="0">
                  <c:v>平成7年度(1995)</c:v>
                </c:pt>
                <c:pt idx="1">
                  <c:v>平成8年度(1996)</c:v>
                </c:pt>
                <c:pt idx="2">
                  <c:v>平成9年度(1997)</c:v>
                </c:pt>
                <c:pt idx="3">
                  <c:v>平成10年度(1998)</c:v>
                </c:pt>
                <c:pt idx="4">
                  <c:v>平成11年度(1999)</c:v>
                </c:pt>
                <c:pt idx="5">
                  <c:v>平成12年度(2000)</c:v>
                </c:pt>
                <c:pt idx="6">
                  <c:v>平成13年度(2001)</c:v>
                </c:pt>
                <c:pt idx="7">
                  <c:v>平成14年度(2002)</c:v>
                </c:pt>
                <c:pt idx="8">
                  <c:v>平成15年(2003)</c:v>
                </c:pt>
                <c:pt idx="9">
                  <c:v>平成16年(2004)</c:v>
                </c:pt>
                <c:pt idx="10">
                  <c:v>平成17年度(2005)</c:v>
                </c:pt>
                <c:pt idx="11">
                  <c:v>平成18年度(2006)</c:v>
                </c:pt>
              </c:strCache>
            </c:strRef>
          </c:cat>
          <c:val>
            <c:numRef>
              <c:f>期末残高推移グラフ!$W$166:$AH$166</c:f>
              <c:numCache>
                <c:formatCode>#,##0_ </c:formatCode>
                <c:ptCount val="12"/>
                <c:pt idx="0">
                  <c:v>2688203446</c:v>
                </c:pt>
                <c:pt idx="1">
                  <c:v>3204855140</c:v>
                </c:pt>
                <c:pt idx="2">
                  <c:v>3643031754</c:v>
                </c:pt>
                <c:pt idx="3">
                  <c:v>1092194340</c:v>
                </c:pt>
                <c:pt idx="4">
                  <c:v>1225947606</c:v>
                </c:pt>
                <c:pt idx="5">
                  <c:v>1270970244</c:v>
                </c:pt>
                <c:pt idx="6">
                  <c:v>1261904188</c:v>
                </c:pt>
                <c:pt idx="7">
                  <c:v>1481922946</c:v>
                </c:pt>
                <c:pt idx="8">
                  <c:v>1598771273</c:v>
                </c:pt>
                <c:pt idx="9">
                  <c:v>1821485863</c:v>
                </c:pt>
                <c:pt idx="10">
                  <c:v>1848135684</c:v>
                </c:pt>
                <c:pt idx="11">
                  <c:v>1726792977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42-4FEC-ACF1-647417FF5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76580768"/>
        <c:axId val="776582408"/>
      </c:barChart>
      <c:catAx>
        <c:axId val="77658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6582408"/>
        <c:crosses val="autoZero"/>
        <c:auto val="1"/>
        <c:lblAlgn val="ctr"/>
        <c:lblOffset val="100"/>
        <c:noMultiLvlLbl val="0"/>
      </c:catAx>
      <c:valAx>
        <c:axId val="7765824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658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利息収入推移グラフ!$A$80</c:f>
              <c:strCache>
                <c:ptCount val="1"/>
                <c:pt idx="0">
                  <c:v>共済会関連貸付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利息収入推移グラフ!$B$78:$N$78</c:f>
              <c:strCache>
                <c:ptCount val="13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</c:strCache>
            </c:strRef>
          </c:cat>
          <c:val>
            <c:numRef>
              <c:f>利息収入推移グラフ!$B$80:$N$80</c:f>
              <c:numCache>
                <c:formatCode>#,##0_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966000</c:v>
                </c:pt>
                <c:pt idx="3">
                  <c:v>136000</c:v>
                </c:pt>
                <c:pt idx="4">
                  <c:v>175000</c:v>
                </c:pt>
                <c:pt idx="5">
                  <c:v>247000</c:v>
                </c:pt>
                <c:pt idx="6">
                  <c:v>366000</c:v>
                </c:pt>
                <c:pt idx="7">
                  <c:v>9370000</c:v>
                </c:pt>
                <c:pt idx="8">
                  <c:v>12544613</c:v>
                </c:pt>
                <c:pt idx="9">
                  <c:v>30746657</c:v>
                </c:pt>
                <c:pt idx="10">
                  <c:v>56819347</c:v>
                </c:pt>
                <c:pt idx="11">
                  <c:v>61680574</c:v>
                </c:pt>
                <c:pt idx="12">
                  <c:v>65393063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B-407D-A747-9724ED60FF51}"/>
            </c:ext>
          </c:extLst>
        </c:ser>
        <c:ser>
          <c:idx val="1"/>
          <c:order val="1"/>
          <c:tx>
            <c:strRef>
              <c:f>利息収入推移グラフ!$A$81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利息収入推移グラフ!$B$78:$N$78</c:f>
              <c:strCache>
                <c:ptCount val="13"/>
                <c:pt idx="0">
                  <c:v>昭和46年度(1971)</c:v>
                </c:pt>
                <c:pt idx="1">
                  <c:v>昭和49年度(1974)</c:v>
                </c:pt>
                <c:pt idx="2">
                  <c:v>昭和52年度(1977)</c:v>
                </c:pt>
                <c:pt idx="3">
                  <c:v>昭和53年度(1978)</c:v>
                </c:pt>
                <c:pt idx="4">
                  <c:v>昭和54年度(1979)</c:v>
                </c:pt>
                <c:pt idx="5">
                  <c:v>昭和55年度(1980)</c:v>
                </c:pt>
                <c:pt idx="6">
                  <c:v>昭和56年度(1981)</c:v>
                </c:pt>
                <c:pt idx="7">
                  <c:v>昭和60年度(1985)</c:v>
                </c:pt>
                <c:pt idx="8">
                  <c:v>昭和61年度(1986)</c:v>
                </c:pt>
                <c:pt idx="9">
                  <c:v>昭和62年度(1987)</c:v>
                </c:pt>
                <c:pt idx="10">
                  <c:v>昭和63年度(1988)</c:v>
                </c:pt>
                <c:pt idx="11">
                  <c:v>平成元年度(1989)</c:v>
                </c:pt>
                <c:pt idx="12">
                  <c:v>平成2年度(1990)</c:v>
                </c:pt>
              </c:strCache>
            </c:strRef>
          </c:cat>
          <c:val>
            <c:numRef>
              <c:f>利息収入推移グラフ!$B$81:$N$81</c:f>
              <c:numCache>
                <c:formatCode>#,##0_ </c:formatCode>
                <c:ptCount val="13"/>
                <c:pt idx="0">
                  <c:v>6973026</c:v>
                </c:pt>
                <c:pt idx="1">
                  <c:v>10440000</c:v>
                </c:pt>
                <c:pt idx="2">
                  <c:v>14198000</c:v>
                </c:pt>
                <c:pt idx="3">
                  <c:v>8899000</c:v>
                </c:pt>
                <c:pt idx="4">
                  <c:v>9481000</c:v>
                </c:pt>
                <c:pt idx="5">
                  <c:v>16771000</c:v>
                </c:pt>
                <c:pt idx="6">
                  <c:v>28923000</c:v>
                </c:pt>
                <c:pt idx="7">
                  <c:v>83067000</c:v>
                </c:pt>
                <c:pt idx="8">
                  <c:v>70396040</c:v>
                </c:pt>
                <c:pt idx="9">
                  <c:v>64463260</c:v>
                </c:pt>
                <c:pt idx="10">
                  <c:v>64757001</c:v>
                </c:pt>
                <c:pt idx="11">
                  <c:v>79155930</c:v>
                </c:pt>
                <c:pt idx="12">
                  <c:v>111054678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B-407D-A747-9724ED60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1233352"/>
        <c:axId val="608110944"/>
      </c:barChart>
      <c:catAx>
        <c:axId val="33123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8110944"/>
        <c:crosses val="autoZero"/>
        <c:auto val="1"/>
        <c:lblAlgn val="ctr"/>
        <c:lblOffset val="100"/>
        <c:noMultiLvlLbl val="0"/>
      </c:catAx>
      <c:valAx>
        <c:axId val="608110944"/>
        <c:scaling>
          <c:orientation val="minMax"/>
          <c:max val="18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1233352"/>
        <c:crosses val="autoZero"/>
        <c:crossBetween val="between"/>
        <c:majorUnit val="18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主要経営指標グラフ!$A$41</c:f>
              <c:strCache>
                <c:ptCount val="1"/>
                <c:pt idx="0">
                  <c:v>貸付額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主要経営指標グラフ!$B$40:$AC$40</c:f>
              <c:strCache>
                <c:ptCount val="28"/>
                <c:pt idx="0">
                  <c:v>1971年度</c:v>
                </c:pt>
                <c:pt idx="1">
                  <c:v>1974年度</c:v>
                </c:pt>
                <c:pt idx="2">
                  <c:v>1975年度</c:v>
                </c:pt>
                <c:pt idx="3">
                  <c:v>1976年度</c:v>
                </c:pt>
                <c:pt idx="4">
                  <c:v>1977年度</c:v>
                </c:pt>
                <c:pt idx="5">
                  <c:v>1978年度</c:v>
                </c:pt>
                <c:pt idx="6">
                  <c:v>1979年度</c:v>
                </c:pt>
                <c:pt idx="7">
                  <c:v>1980年度</c:v>
                </c:pt>
                <c:pt idx="8">
                  <c:v>1981年度</c:v>
                </c:pt>
                <c:pt idx="9">
                  <c:v>1982年度</c:v>
                </c:pt>
                <c:pt idx="10">
                  <c:v>1983年度</c:v>
                </c:pt>
                <c:pt idx="11">
                  <c:v>1984年度</c:v>
                </c:pt>
                <c:pt idx="12">
                  <c:v>1985年度</c:v>
                </c:pt>
                <c:pt idx="13">
                  <c:v>1986年度</c:v>
                </c:pt>
                <c:pt idx="14">
                  <c:v>1987年度</c:v>
                </c:pt>
                <c:pt idx="15">
                  <c:v>1988年度</c:v>
                </c:pt>
                <c:pt idx="16">
                  <c:v>1989年度</c:v>
                </c:pt>
                <c:pt idx="17">
                  <c:v>1990年度</c:v>
                </c:pt>
                <c:pt idx="18">
                  <c:v>1991年度</c:v>
                </c:pt>
                <c:pt idx="19">
                  <c:v>1992年度</c:v>
                </c:pt>
                <c:pt idx="20">
                  <c:v>1993年度</c:v>
                </c:pt>
                <c:pt idx="21">
                  <c:v>1994年度</c:v>
                </c:pt>
                <c:pt idx="22">
                  <c:v>1995年度</c:v>
                </c:pt>
                <c:pt idx="23">
                  <c:v>1996年度</c:v>
                </c:pt>
                <c:pt idx="24">
                  <c:v>1997年度</c:v>
                </c:pt>
                <c:pt idx="25">
                  <c:v>1998年度</c:v>
                </c:pt>
                <c:pt idx="26">
                  <c:v>1999年度</c:v>
                </c:pt>
                <c:pt idx="27">
                  <c:v>2000年度</c:v>
                </c:pt>
              </c:strCache>
            </c:strRef>
          </c:cat>
          <c:val>
            <c:numRef>
              <c:f>主要経営指標グラフ!$B$41:$AC$41</c:f>
              <c:numCache>
                <c:formatCode>#,##0;"△ "#,##0</c:formatCode>
                <c:ptCount val="28"/>
                <c:pt idx="0">
                  <c:v>62754616</c:v>
                </c:pt>
                <c:pt idx="1">
                  <c:v>85231000</c:v>
                </c:pt>
                <c:pt idx="2">
                  <c:v>28349910</c:v>
                </c:pt>
                <c:pt idx="3">
                  <c:v>56295235</c:v>
                </c:pt>
                <c:pt idx="4">
                  <c:v>239120000</c:v>
                </c:pt>
                <c:pt idx="5">
                  <c:v>93026467</c:v>
                </c:pt>
                <c:pt idx="6">
                  <c:v>95361748</c:v>
                </c:pt>
                <c:pt idx="7">
                  <c:v>141283534</c:v>
                </c:pt>
                <c:pt idx="8">
                  <c:v>223481000</c:v>
                </c:pt>
                <c:pt idx="9">
                  <c:v>345195000</c:v>
                </c:pt>
                <c:pt idx="10">
                  <c:v>318390000</c:v>
                </c:pt>
                <c:pt idx="11">
                  <c:v>425057000</c:v>
                </c:pt>
                <c:pt idx="12">
                  <c:v>378837000</c:v>
                </c:pt>
                <c:pt idx="13">
                  <c:v>391500382</c:v>
                </c:pt>
                <c:pt idx="14">
                  <c:v>939810499</c:v>
                </c:pt>
                <c:pt idx="15">
                  <c:v>844576712</c:v>
                </c:pt>
                <c:pt idx="16">
                  <c:v>910664379</c:v>
                </c:pt>
                <c:pt idx="17">
                  <c:v>1152062785</c:v>
                </c:pt>
                <c:pt idx="18">
                  <c:v>1174217244</c:v>
                </c:pt>
                <c:pt idx="19">
                  <c:v>1468917904</c:v>
                </c:pt>
                <c:pt idx="20">
                  <c:v>1568370895</c:v>
                </c:pt>
                <c:pt idx="21">
                  <c:v>1685406692</c:v>
                </c:pt>
                <c:pt idx="22">
                  <c:v>1740071385</c:v>
                </c:pt>
                <c:pt idx="23">
                  <c:v>2030239846</c:v>
                </c:pt>
                <c:pt idx="24">
                  <c:v>1894548868</c:v>
                </c:pt>
                <c:pt idx="25">
                  <c:v>1598050707</c:v>
                </c:pt>
                <c:pt idx="26">
                  <c:v>2185619224</c:v>
                </c:pt>
                <c:pt idx="27">
                  <c:v>2587056542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5-4D1E-B8B5-463D7831BA5D}"/>
            </c:ext>
          </c:extLst>
        </c:ser>
        <c:ser>
          <c:idx val="1"/>
          <c:order val="1"/>
          <c:tx>
            <c:strRef>
              <c:f>主要経営指標グラフ!$A$42</c:f>
              <c:strCache>
                <c:ptCount val="1"/>
                <c:pt idx="0">
                  <c:v>貸付残高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主要経営指標グラフ!$B$40:$AC$40</c:f>
              <c:strCache>
                <c:ptCount val="28"/>
                <c:pt idx="0">
                  <c:v>1971年度</c:v>
                </c:pt>
                <c:pt idx="1">
                  <c:v>1974年度</c:v>
                </c:pt>
                <c:pt idx="2">
                  <c:v>1975年度</c:v>
                </c:pt>
                <c:pt idx="3">
                  <c:v>1976年度</c:v>
                </c:pt>
                <c:pt idx="4">
                  <c:v>1977年度</c:v>
                </c:pt>
                <c:pt idx="5">
                  <c:v>1978年度</c:v>
                </c:pt>
                <c:pt idx="6">
                  <c:v>1979年度</c:v>
                </c:pt>
                <c:pt idx="7">
                  <c:v>1980年度</c:v>
                </c:pt>
                <c:pt idx="8">
                  <c:v>1981年度</c:v>
                </c:pt>
                <c:pt idx="9">
                  <c:v>1982年度</c:v>
                </c:pt>
                <c:pt idx="10">
                  <c:v>1983年度</c:v>
                </c:pt>
                <c:pt idx="11">
                  <c:v>1984年度</c:v>
                </c:pt>
                <c:pt idx="12">
                  <c:v>1985年度</c:v>
                </c:pt>
                <c:pt idx="13">
                  <c:v>1986年度</c:v>
                </c:pt>
                <c:pt idx="14">
                  <c:v>1987年度</c:v>
                </c:pt>
                <c:pt idx="15">
                  <c:v>1988年度</c:v>
                </c:pt>
                <c:pt idx="16">
                  <c:v>1989年度</c:v>
                </c:pt>
                <c:pt idx="17">
                  <c:v>1990年度</c:v>
                </c:pt>
                <c:pt idx="18">
                  <c:v>1991年度</c:v>
                </c:pt>
                <c:pt idx="19">
                  <c:v>1992年度</c:v>
                </c:pt>
                <c:pt idx="20">
                  <c:v>1993年度</c:v>
                </c:pt>
                <c:pt idx="21">
                  <c:v>1994年度</c:v>
                </c:pt>
                <c:pt idx="22">
                  <c:v>1995年度</c:v>
                </c:pt>
                <c:pt idx="23">
                  <c:v>1996年度</c:v>
                </c:pt>
                <c:pt idx="24">
                  <c:v>1997年度</c:v>
                </c:pt>
                <c:pt idx="25">
                  <c:v>1998年度</c:v>
                </c:pt>
                <c:pt idx="26">
                  <c:v>1999年度</c:v>
                </c:pt>
                <c:pt idx="27">
                  <c:v>2000年度</c:v>
                </c:pt>
              </c:strCache>
            </c:strRef>
          </c:cat>
          <c:val>
            <c:numRef>
              <c:f>主要経営指標グラフ!$B$42:$AC$42</c:f>
              <c:numCache>
                <c:formatCode>#,##0;"△ "#,##0</c:formatCode>
                <c:ptCount val="28"/>
                <c:pt idx="0">
                  <c:v>56467806</c:v>
                </c:pt>
                <c:pt idx="1">
                  <c:v>27852749</c:v>
                </c:pt>
                <c:pt idx="2">
                  <c:v>38742267</c:v>
                </c:pt>
                <c:pt idx="3">
                  <c:v>39729896</c:v>
                </c:pt>
                <c:pt idx="4">
                  <c:v>68839790</c:v>
                </c:pt>
                <c:pt idx="5">
                  <c:v>72944271</c:v>
                </c:pt>
                <c:pt idx="6">
                  <c:v>77292930</c:v>
                </c:pt>
                <c:pt idx="7">
                  <c:v>137603039</c:v>
                </c:pt>
                <c:pt idx="8">
                  <c:v>210117433</c:v>
                </c:pt>
                <c:pt idx="9">
                  <c:v>340906414</c:v>
                </c:pt>
                <c:pt idx="10">
                  <c:v>462114153</c:v>
                </c:pt>
                <c:pt idx="11">
                  <c:v>605317992</c:v>
                </c:pt>
                <c:pt idx="12">
                  <c:v>610811443</c:v>
                </c:pt>
                <c:pt idx="13">
                  <c:v>548117784</c:v>
                </c:pt>
                <c:pt idx="14">
                  <c:v>977261801</c:v>
                </c:pt>
                <c:pt idx="15">
                  <c:v>1148075293</c:v>
                </c:pt>
                <c:pt idx="16">
                  <c:v>1336722065</c:v>
                </c:pt>
                <c:pt idx="17">
                  <c:v>1574665736</c:v>
                </c:pt>
                <c:pt idx="18">
                  <c:v>1909467695</c:v>
                </c:pt>
                <c:pt idx="19">
                  <c:v>2233860907</c:v>
                </c:pt>
                <c:pt idx="20">
                  <c:v>2564628088</c:v>
                </c:pt>
                <c:pt idx="21">
                  <c:v>2932720782</c:v>
                </c:pt>
                <c:pt idx="22">
                  <c:v>3060330824</c:v>
                </c:pt>
                <c:pt idx="23">
                  <c:v>3581582216</c:v>
                </c:pt>
                <c:pt idx="24">
                  <c:v>4003922329</c:v>
                </c:pt>
                <c:pt idx="25">
                  <c:v>4102242138</c:v>
                </c:pt>
                <c:pt idx="26">
                  <c:v>4585975330</c:v>
                </c:pt>
                <c:pt idx="27">
                  <c:v>5415534204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5-4D1E-B8B5-463D7831B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893640"/>
        <c:axId val="663896264"/>
      </c:barChart>
      <c:catAx>
        <c:axId val="66389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3896264"/>
        <c:crosses val="autoZero"/>
        <c:auto val="1"/>
        <c:lblAlgn val="ctr"/>
        <c:lblOffset val="100"/>
        <c:noMultiLvlLbl val="0"/>
      </c:catAx>
      <c:valAx>
        <c:axId val="663896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3893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35803067159"/>
          <c:y val="5.3101901032377261E-2"/>
          <c:w val="0.84913771932171989"/>
          <c:h val="0.733994493813706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期末残高推移グラフ!$A$164</c:f>
              <c:strCache>
                <c:ptCount val="1"/>
                <c:pt idx="0">
                  <c:v>スイッチローン・生活再建資金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期末残高推移グラフ!$Q$163:$AB$163</c:f>
              <c:strCache>
                <c:ptCount val="12"/>
                <c:pt idx="0">
                  <c:v>平成元年度(1989)</c:v>
                </c:pt>
                <c:pt idx="1">
                  <c:v>平成2年度(1990)</c:v>
                </c:pt>
                <c:pt idx="2">
                  <c:v>平成3年度(1991)</c:v>
                </c:pt>
                <c:pt idx="3">
                  <c:v>平成4年度(1992)</c:v>
                </c:pt>
                <c:pt idx="4">
                  <c:v>平成5年度(1993)</c:v>
                </c:pt>
                <c:pt idx="5">
                  <c:v>平成6年度(1994)</c:v>
                </c:pt>
                <c:pt idx="6">
                  <c:v>平成7年度(1995)</c:v>
                </c:pt>
                <c:pt idx="7">
                  <c:v>平成8年度(1996)</c:v>
                </c:pt>
                <c:pt idx="8">
                  <c:v>平成9年度(1997)</c:v>
                </c:pt>
                <c:pt idx="9">
                  <c:v>平成10年度(1998)</c:v>
                </c:pt>
                <c:pt idx="10">
                  <c:v>平成11年度(1999)</c:v>
                </c:pt>
                <c:pt idx="11">
                  <c:v>平成12年度(2000)</c:v>
                </c:pt>
              </c:strCache>
            </c:strRef>
          </c:cat>
          <c:val>
            <c:numRef>
              <c:f>期末残高推移グラフ!$Q$164:$AB$164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2871638236</c:v>
                </c:pt>
                <c:pt idx="10">
                  <c:v>3260442046</c:v>
                </c:pt>
                <c:pt idx="11">
                  <c:v>4053059089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5-425E-96F5-E90D94307373}"/>
            </c:ext>
          </c:extLst>
        </c:ser>
        <c:ser>
          <c:idx val="1"/>
          <c:order val="1"/>
          <c:tx>
            <c:strRef>
              <c:f>期末残高推移グラフ!$A$165</c:f>
              <c:strCache>
                <c:ptCount val="1"/>
                <c:pt idx="0">
                  <c:v>共済会関連貸付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期末残高推移グラフ!$Q$163:$AB$163</c:f>
              <c:strCache>
                <c:ptCount val="12"/>
                <c:pt idx="0">
                  <c:v>平成元年度(1989)</c:v>
                </c:pt>
                <c:pt idx="1">
                  <c:v>平成2年度(1990)</c:v>
                </c:pt>
                <c:pt idx="2">
                  <c:v>平成3年度(1991)</c:v>
                </c:pt>
                <c:pt idx="3">
                  <c:v>平成4年度(1992)</c:v>
                </c:pt>
                <c:pt idx="4">
                  <c:v>平成5年度(1993)</c:v>
                </c:pt>
                <c:pt idx="5">
                  <c:v>平成6年度(1994)</c:v>
                </c:pt>
                <c:pt idx="6">
                  <c:v>平成7年度(1995)</c:v>
                </c:pt>
                <c:pt idx="7">
                  <c:v>平成8年度(1996)</c:v>
                </c:pt>
                <c:pt idx="8">
                  <c:v>平成9年度(1997)</c:v>
                </c:pt>
                <c:pt idx="9">
                  <c:v>平成10年度(1998)</c:v>
                </c:pt>
                <c:pt idx="10">
                  <c:v>平成11年度(1999)</c:v>
                </c:pt>
                <c:pt idx="11">
                  <c:v>平成12年度(2000)</c:v>
                </c:pt>
              </c:strCache>
            </c:strRef>
          </c:cat>
          <c:val>
            <c:numRef>
              <c:f>期末残高推移グラフ!$Q$165:$AB$165</c:f>
              <c:numCache>
                <c:formatCode>#,##0_ </c:formatCode>
                <c:ptCount val="12"/>
                <c:pt idx="0">
                  <c:v>605362954</c:v>
                </c:pt>
                <c:pt idx="1">
                  <c:v>623893167</c:v>
                </c:pt>
                <c:pt idx="2">
                  <c:v>634044795</c:v>
                </c:pt>
                <c:pt idx="3">
                  <c:v>551431239</c:v>
                </c:pt>
                <c:pt idx="4">
                  <c:v>494946029</c:v>
                </c:pt>
                <c:pt idx="5">
                  <c:v>452724592</c:v>
                </c:pt>
                <c:pt idx="6">
                  <c:v>372127378</c:v>
                </c:pt>
                <c:pt idx="7">
                  <c:v>376727076</c:v>
                </c:pt>
                <c:pt idx="8">
                  <c:v>360890575</c:v>
                </c:pt>
                <c:pt idx="9">
                  <c:v>138409562</c:v>
                </c:pt>
                <c:pt idx="10">
                  <c:v>99585678</c:v>
                </c:pt>
                <c:pt idx="11">
                  <c:v>91504871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5-425E-96F5-E90D94307373}"/>
            </c:ext>
          </c:extLst>
        </c:ser>
        <c:ser>
          <c:idx val="2"/>
          <c:order val="2"/>
          <c:tx>
            <c:strRef>
              <c:f>期末残高推移グラフ!$A$166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期末残高推移グラフ!$Q$163:$AB$163</c:f>
              <c:strCache>
                <c:ptCount val="12"/>
                <c:pt idx="0">
                  <c:v>平成元年度(1989)</c:v>
                </c:pt>
                <c:pt idx="1">
                  <c:v>平成2年度(1990)</c:v>
                </c:pt>
                <c:pt idx="2">
                  <c:v>平成3年度(1991)</c:v>
                </c:pt>
                <c:pt idx="3">
                  <c:v>平成4年度(1992)</c:v>
                </c:pt>
                <c:pt idx="4">
                  <c:v>平成5年度(1993)</c:v>
                </c:pt>
                <c:pt idx="5">
                  <c:v>平成6年度(1994)</c:v>
                </c:pt>
                <c:pt idx="6">
                  <c:v>平成7年度(1995)</c:v>
                </c:pt>
                <c:pt idx="7">
                  <c:v>平成8年度(1996)</c:v>
                </c:pt>
                <c:pt idx="8">
                  <c:v>平成9年度(1997)</c:v>
                </c:pt>
                <c:pt idx="9">
                  <c:v>平成10年度(1998)</c:v>
                </c:pt>
                <c:pt idx="10">
                  <c:v>平成11年度(1999)</c:v>
                </c:pt>
                <c:pt idx="11">
                  <c:v>平成12年度(2000)</c:v>
                </c:pt>
              </c:strCache>
            </c:strRef>
          </c:cat>
          <c:val>
            <c:numRef>
              <c:f>期末残高推移グラフ!$Q$166:$AB$166</c:f>
              <c:numCache>
                <c:formatCode>#,##0_ </c:formatCode>
                <c:ptCount val="12"/>
                <c:pt idx="0">
                  <c:v>731359111</c:v>
                </c:pt>
                <c:pt idx="1">
                  <c:v>950772569</c:v>
                </c:pt>
                <c:pt idx="2">
                  <c:v>1275422900</c:v>
                </c:pt>
                <c:pt idx="3">
                  <c:v>1682429668</c:v>
                </c:pt>
                <c:pt idx="4">
                  <c:v>2069682059</c:v>
                </c:pt>
                <c:pt idx="5">
                  <c:v>2479996190</c:v>
                </c:pt>
                <c:pt idx="6">
                  <c:v>2688203446</c:v>
                </c:pt>
                <c:pt idx="7">
                  <c:v>3204855140</c:v>
                </c:pt>
                <c:pt idx="8">
                  <c:v>3643031754</c:v>
                </c:pt>
                <c:pt idx="9">
                  <c:v>1092194340</c:v>
                </c:pt>
                <c:pt idx="10">
                  <c:v>1225947606</c:v>
                </c:pt>
                <c:pt idx="11">
                  <c:v>1270970244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A5-425E-96F5-E90D94307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16408680"/>
        <c:axId val="516412944"/>
      </c:barChart>
      <c:catAx>
        <c:axId val="51640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412944"/>
        <c:crosses val="autoZero"/>
        <c:auto val="1"/>
        <c:lblAlgn val="ctr"/>
        <c:lblOffset val="100"/>
        <c:noMultiLvlLbl val="0"/>
      </c:catAx>
      <c:valAx>
        <c:axId val="51641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408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1291292033875397"/>
          <c:y val="0.11564114926939154"/>
          <c:w val="0.2772996833115805"/>
          <c:h val="0.16801890971239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期末残高推移グラフ!$A$165</c:f>
              <c:strCache>
                <c:ptCount val="1"/>
                <c:pt idx="0">
                  <c:v>共済会関連貸付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期末残高推移グラフ!$B$163:$R$163</c:f>
              <c:strCache>
                <c:ptCount val="17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</c:strCache>
            </c:strRef>
          </c:cat>
          <c:val>
            <c:numRef>
              <c:f>期末残高推移グラフ!$B$165:$R$165</c:f>
              <c:numCache>
                <c:formatCode>#,##0_ 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840000</c:v>
                </c:pt>
                <c:pt idx="3">
                  <c:v>11941000</c:v>
                </c:pt>
                <c:pt idx="4">
                  <c:v>1297204</c:v>
                </c:pt>
                <c:pt idx="5">
                  <c:v>2916101</c:v>
                </c:pt>
                <c:pt idx="6">
                  <c:v>2627343</c:v>
                </c:pt>
                <c:pt idx="7">
                  <c:v>5176185</c:v>
                </c:pt>
                <c:pt idx="8">
                  <c:v>37974000</c:v>
                </c:pt>
                <c:pt idx="9">
                  <c:v>37647000</c:v>
                </c:pt>
                <c:pt idx="10">
                  <c:v>47595000</c:v>
                </c:pt>
                <c:pt idx="11">
                  <c:v>86561000</c:v>
                </c:pt>
                <c:pt idx="12">
                  <c:v>126191426</c:v>
                </c:pt>
                <c:pt idx="13">
                  <c:v>489696363</c:v>
                </c:pt>
                <c:pt idx="14">
                  <c:v>595825063</c:v>
                </c:pt>
                <c:pt idx="15">
                  <c:v>605362954</c:v>
                </c:pt>
                <c:pt idx="16">
                  <c:v>623893167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6-4214-B829-0023B1C4DC7A}"/>
            </c:ext>
          </c:extLst>
        </c:ser>
        <c:ser>
          <c:idx val="1"/>
          <c:order val="1"/>
          <c:tx>
            <c:strRef>
              <c:f>期末残高推移グラフ!$A$166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期末残高推移グラフ!$B$163:$R$163</c:f>
              <c:strCache>
                <c:ptCount val="17"/>
                <c:pt idx="0">
                  <c:v>昭和46年度(1971)</c:v>
                </c:pt>
                <c:pt idx="1">
                  <c:v>昭和49年度(1974)</c:v>
                </c:pt>
                <c:pt idx="2">
                  <c:v>昭和51年度(1976)</c:v>
                </c:pt>
                <c:pt idx="3">
                  <c:v>昭和52年度(1977)</c:v>
                </c:pt>
                <c:pt idx="4">
                  <c:v>昭和53年度(1978)</c:v>
                </c:pt>
                <c:pt idx="5">
                  <c:v>昭和54年度(1979)</c:v>
                </c:pt>
                <c:pt idx="6">
                  <c:v>昭和55年度(1980)</c:v>
                </c:pt>
                <c:pt idx="7">
                  <c:v>昭和56年度(1981)</c:v>
                </c:pt>
                <c:pt idx="8">
                  <c:v>昭和57年度(1982)</c:v>
                </c:pt>
                <c:pt idx="9">
                  <c:v>昭和58年度(1983)</c:v>
                </c:pt>
                <c:pt idx="10">
                  <c:v>昭和59年度(1984)</c:v>
                </c:pt>
                <c:pt idx="11">
                  <c:v>昭和60年度(1985)</c:v>
                </c:pt>
                <c:pt idx="12">
                  <c:v>昭和61年度(1986)</c:v>
                </c:pt>
                <c:pt idx="13">
                  <c:v>昭和62年度(1987)</c:v>
                </c:pt>
                <c:pt idx="14">
                  <c:v>昭和63年度(1988)</c:v>
                </c:pt>
                <c:pt idx="15">
                  <c:v>平成元年度(1989)</c:v>
                </c:pt>
                <c:pt idx="16">
                  <c:v>平成2年度(1990)</c:v>
                </c:pt>
              </c:strCache>
            </c:strRef>
          </c:cat>
          <c:val>
            <c:numRef>
              <c:f>期末残高推移グラフ!$B$166:$R$166</c:f>
              <c:numCache>
                <c:formatCode>#,##0_ </c:formatCode>
                <c:ptCount val="17"/>
                <c:pt idx="0">
                  <c:v>56467806</c:v>
                </c:pt>
                <c:pt idx="1">
                  <c:v>69532000</c:v>
                </c:pt>
                <c:pt idx="2">
                  <c:v>82570000</c:v>
                </c:pt>
                <c:pt idx="3">
                  <c:v>192148000</c:v>
                </c:pt>
                <c:pt idx="4">
                  <c:v>71647067</c:v>
                </c:pt>
                <c:pt idx="5">
                  <c:v>74376829</c:v>
                </c:pt>
                <c:pt idx="6">
                  <c:v>134975696</c:v>
                </c:pt>
                <c:pt idx="7">
                  <c:v>204941245</c:v>
                </c:pt>
                <c:pt idx="8">
                  <c:v>343590000</c:v>
                </c:pt>
                <c:pt idx="9">
                  <c:v>424467000</c:v>
                </c:pt>
                <c:pt idx="10">
                  <c:v>557723000</c:v>
                </c:pt>
                <c:pt idx="11">
                  <c:v>524250000</c:v>
                </c:pt>
                <c:pt idx="12">
                  <c:v>421926358</c:v>
                </c:pt>
                <c:pt idx="13">
                  <c:v>487565438</c:v>
                </c:pt>
                <c:pt idx="14">
                  <c:v>552250230</c:v>
                </c:pt>
                <c:pt idx="15">
                  <c:v>731359111</c:v>
                </c:pt>
                <c:pt idx="16">
                  <c:v>950772569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56-4214-B829-0023B1C4D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16467392"/>
        <c:axId val="516468376"/>
      </c:barChart>
      <c:catAx>
        <c:axId val="51646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468376"/>
        <c:crosses val="autoZero"/>
        <c:auto val="1"/>
        <c:lblAlgn val="ctr"/>
        <c:lblOffset val="100"/>
        <c:noMultiLvlLbl val="0"/>
      </c:catAx>
      <c:valAx>
        <c:axId val="516468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646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期末残高推移グラフ!$A$164</c:f>
              <c:strCache>
                <c:ptCount val="1"/>
                <c:pt idx="0">
                  <c:v>スイッチローン・生活再建資金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期末残高推移グラフ!$AE$163:$AL$163</c:f>
              <c:strCache>
                <c:ptCount val="8"/>
                <c:pt idx="0">
                  <c:v>平成15年(2003)</c:v>
                </c:pt>
                <c:pt idx="1">
                  <c:v>平成16年(2004)</c:v>
                </c:pt>
                <c:pt idx="2">
                  <c:v>平成17年度(2005)</c:v>
                </c:pt>
                <c:pt idx="3">
                  <c:v>平成18年度(2006)</c:v>
                </c:pt>
                <c:pt idx="4">
                  <c:v>平成19年度(2007)</c:v>
                </c:pt>
                <c:pt idx="5">
                  <c:v>平成20年度(2008)</c:v>
                </c:pt>
                <c:pt idx="6">
                  <c:v>平成21年度(2009)</c:v>
                </c:pt>
                <c:pt idx="7">
                  <c:v>平成22年度(2010)</c:v>
                </c:pt>
              </c:strCache>
            </c:strRef>
          </c:cat>
          <c:val>
            <c:numRef>
              <c:f>期末残高推移グラフ!$AE$164:$AL$164</c:f>
              <c:numCache>
                <c:formatCode>#,##0_ </c:formatCode>
                <c:ptCount val="8"/>
                <c:pt idx="0">
                  <c:v>5912711062</c:v>
                </c:pt>
                <c:pt idx="1">
                  <c:v>6105431026</c:v>
                </c:pt>
                <c:pt idx="2">
                  <c:v>5947502702</c:v>
                </c:pt>
                <c:pt idx="3">
                  <c:v>5695407264</c:v>
                </c:pt>
                <c:pt idx="4">
                  <c:v>5421864095</c:v>
                </c:pt>
                <c:pt idx="5">
                  <c:v>4611469600</c:v>
                </c:pt>
                <c:pt idx="6">
                  <c:v>3972835964</c:v>
                </c:pt>
                <c:pt idx="7">
                  <c:v>3662491184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7-4273-81F0-5B1F15C024B7}"/>
            </c:ext>
          </c:extLst>
        </c:ser>
        <c:ser>
          <c:idx val="1"/>
          <c:order val="1"/>
          <c:tx>
            <c:strRef>
              <c:f>期末残高推移グラフ!$A$165</c:f>
              <c:strCache>
                <c:ptCount val="1"/>
                <c:pt idx="0">
                  <c:v>共済会関連貸付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期末残高推移グラフ!$AE$163:$AL$163</c:f>
              <c:strCache>
                <c:ptCount val="8"/>
                <c:pt idx="0">
                  <c:v>平成15年(2003)</c:v>
                </c:pt>
                <c:pt idx="1">
                  <c:v>平成16年(2004)</c:v>
                </c:pt>
                <c:pt idx="2">
                  <c:v>平成17年度(2005)</c:v>
                </c:pt>
                <c:pt idx="3">
                  <c:v>平成18年度(2006)</c:v>
                </c:pt>
                <c:pt idx="4">
                  <c:v>平成19年度(2007)</c:v>
                </c:pt>
                <c:pt idx="5">
                  <c:v>平成20年度(2008)</c:v>
                </c:pt>
                <c:pt idx="6">
                  <c:v>平成21年度(2009)</c:v>
                </c:pt>
                <c:pt idx="7">
                  <c:v>平成22年度(2010)</c:v>
                </c:pt>
              </c:strCache>
            </c:strRef>
          </c:cat>
          <c:val>
            <c:numRef>
              <c:f>期末残高推移グラフ!$AE$165:$AL$165</c:f>
              <c:numCache>
                <c:formatCode>#,##0_ </c:formatCode>
                <c:ptCount val="8"/>
                <c:pt idx="0">
                  <c:v>54722975</c:v>
                </c:pt>
                <c:pt idx="1">
                  <c:v>43555953</c:v>
                </c:pt>
                <c:pt idx="2">
                  <c:v>43598697</c:v>
                </c:pt>
                <c:pt idx="3">
                  <c:v>43774405</c:v>
                </c:pt>
                <c:pt idx="4">
                  <c:v>41125777</c:v>
                </c:pt>
                <c:pt idx="5">
                  <c:v>31331789</c:v>
                </c:pt>
                <c:pt idx="6">
                  <c:v>24211483</c:v>
                </c:pt>
                <c:pt idx="7">
                  <c:v>23109835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47-4273-81F0-5B1F15C024B7}"/>
            </c:ext>
          </c:extLst>
        </c:ser>
        <c:ser>
          <c:idx val="2"/>
          <c:order val="2"/>
          <c:tx>
            <c:strRef>
              <c:f>期末残高推移グラフ!$A$166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期末残高推移グラフ!$AE$163:$AL$163</c:f>
              <c:strCache>
                <c:ptCount val="8"/>
                <c:pt idx="0">
                  <c:v>平成15年(2003)</c:v>
                </c:pt>
                <c:pt idx="1">
                  <c:v>平成16年(2004)</c:v>
                </c:pt>
                <c:pt idx="2">
                  <c:v>平成17年度(2005)</c:v>
                </c:pt>
                <c:pt idx="3">
                  <c:v>平成18年度(2006)</c:v>
                </c:pt>
                <c:pt idx="4">
                  <c:v>平成19年度(2007)</c:v>
                </c:pt>
                <c:pt idx="5">
                  <c:v>平成20年度(2008)</c:v>
                </c:pt>
                <c:pt idx="6">
                  <c:v>平成21年度(2009)</c:v>
                </c:pt>
                <c:pt idx="7">
                  <c:v>平成22年度(2010)</c:v>
                </c:pt>
              </c:strCache>
            </c:strRef>
          </c:cat>
          <c:val>
            <c:numRef>
              <c:f>期末残高推移グラフ!$AE$166:$AL$166</c:f>
              <c:numCache>
                <c:formatCode>#,##0_ </c:formatCode>
                <c:ptCount val="8"/>
                <c:pt idx="0">
                  <c:v>1598771273</c:v>
                </c:pt>
                <c:pt idx="1">
                  <c:v>1821485863</c:v>
                </c:pt>
                <c:pt idx="2">
                  <c:v>1848135684</c:v>
                </c:pt>
                <c:pt idx="3">
                  <c:v>1726792977</c:v>
                </c:pt>
                <c:pt idx="4">
                  <c:v>1652518152</c:v>
                </c:pt>
                <c:pt idx="5">
                  <c:v>1525147012</c:v>
                </c:pt>
                <c:pt idx="6">
                  <c:v>1406460158</c:v>
                </c:pt>
                <c:pt idx="7">
                  <c:v>1334424608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47-4273-81F0-5B1F15C02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5935592"/>
        <c:axId val="875928376"/>
      </c:barChart>
      <c:catAx>
        <c:axId val="87593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928376"/>
        <c:crosses val="autoZero"/>
        <c:auto val="1"/>
        <c:lblAlgn val="ctr"/>
        <c:lblOffset val="100"/>
        <c:noMultiLvlLbl val="0"/>
      </c:catAx>
      <c:valAx>
        <c:axId val="875928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935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[2]Sheet1!$A$21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[2]Sheet1!$K$2:$S$2</c:f>
              <c:strCache>
                <c:ptCount val="9"/>
                <c:pt idx="0">
                  <c:v>2002年度</c:v>
                </c:pt>
                <c:pt idx="1">
                  <c:v>2003年度</c:v>
                </c:pt>
                <c:pt idx="2">
                  <c:v>2004年度</c:v>
                </c:pt>
                <c:pt idx="3">
                  <c:v>2005年度</c:v>
                </c:pt>
                <c:pt idx="4">
                  <c:v>2006年度</c:v>
                </c:pt>
                <c:pt idx="5">
                  <c:v>2007年度</c:v>
                </c:pt>
                <c:pt idx="6">
                  <c:v>2008年度</c:v>
                </c:pt>
                <c:pt idx="7">
                  <c:v>2009年度</c:v>
                </c:pt>
                <c:pt idx="8">
                  <c:v>2010年度</c:v>
                </c:pt>
              </c:strCache>
            </c:strRef>
          </c:cat>
          <c:val>
            <c:numRef>
              <c:f>[2]Sheet1!$K$21:$S$21</c:f>
              <c:numCache>
                <c:formatCode>General</c:formatCode>
                <c:ptCount val="9"/>
                <c:pt idx="0">
                  <c:v>4667</c:v>
                </c:pt>
                <c:pt idx="1">
                  <c:v>4706</c:v>
                </c:pt>
                <c:pt idx="2">
                  <c:v>5072</c:v>
                </c:pt>
                <c:pt idx="3">
                  <c:v>5020</c:v>
                </c:pt>
                <c:pt idx="4">
                  <c:v>5132</c:v>
                </c:pt>
                <c:pt idx="5">
                  <c:v>5037</c:v>
                </c:pt>
                <c:pt idx="6">
                  <c:v>5415</c:v>
                </c:pt>
                <c:pt idx="7">
                  <c:v>4347</c:v>
                </c:pt>
                <c:pt idx="8">
                  <c:v>4465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5-424A-9B92-F0620F1451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839866112"/>
        <c:axId val="839865456"/>
      </c:barChart>
      <c:catAx>
        <c:axId val="83986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9865456"/>
        <c:crosses val="autoZero"/>
        <c:auto val="1"/>
        <c:lblAlgn val="ctr"/>
        <c:lblOffset val="100"/>
        <c:noMultiLvlLbl val="0"/>
      </c:catAx>
      <c:valAx>
        <c:axId val="839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986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期末残高推移グラフ!$A$164</c:f>
              <c:strCache>
                <c:ptCount val="1"/>
                <c:pt idx="0">
                  <c:v>スイッチローン・生活再建資金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期末残高推移グラフ!$AL$163:$AT$163</c:f>
              <c:strCache>
                <c:ptCount val="9"/>
                <c:pt idx="0">
                  <c:v>平成22年度(2010)</c:v>
                </c:pt>
                <c:pt idx="1">
                  <c:v>平成23年度(2011)</c:v>
                </c:pt>
                <c:pt idx="2">
                  <c:v>平成24年度(2012)</c:v>
                </c:pt>
                <c:pt idx="3">
                  <c:v>平成25年度(2013)</c:v>
                </c:pt>
                <c:pt idx="4">
                  <c:v>平成26年度(2014)</c:v>
                </c:pt>
                <c:pt idx="5">
                  <c:v>平成27年度(2015)</c:v>
                </c:pt>
                <c:pt idx="6">
                  <c:v>平成28年度(2016)</c:v>
                </c:pt>
                <c:pt idx="7">
                  <c:v>平成29年度(2017)</c:v>
                </c:pt>
                <c:pt idx="8">
                  <c:v>平成30年度(2018)</c:v>
                </c:pt>
              </c:strCache>
            </c:strRef>
          </c:cat>
          <c:val>
            <c:numRef>
              <c:f>期末残高推移グラフ!$AL$164:$AT$164</c:f>
              <c:numCache>
                <c:formatCode>#,##0_ </c:formatCode>
                <c:ptCount val="9"/>
                <c:pt idx="0">
                  <c:v>3662491184</c:v>
                </c:pt>
                <c:pt idx="1">
                  <c:v>3294341432</c:v>
                </c:pt>
                <c:pt idx="2">
                  <c:v>2881776823</c:v>
                </c:pt>
                <c:pt idx="3">
                  <c:v>2407515682</c:v>
                </c:pt>
                <c:pt idx="4">
                  <c:v>2119226324</c:v>
                </c:pt>
                <c:pt idx="5">
                  <c:v>1877556327</c:v>
                </c:pt>
                <c:pt idx="6">
                  <c:v>1626886120</c:v>
                </c:pt>
                <c:pt idx="7">
                  <c:v>1388854139</c:v>
                </c:pt>
                <c:pt idx="8">
                  <c:v>1288283900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9-4E00-A529-5D1914F95170}"/>
            </c:ext>
          </c:extLst>
        </c:ser>
        <c:ser>
          <c:idx val="1"/>
          <c:order val="1"/>
          <c:tx>
            <c:strRef>
              <c:f>期末残高推移グラフ!$A$165</c:f>
              <c:strCache>
                <c:ptCount val="1"/>
                <c:pt idx="0">
                  <c:v>共済会関連貸付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期末残高推移グラフ!$AL$163:$AT$163</c:f>
              <c:strCache>
                <c:ptCount val="9"/>
                <c:pt idx="0">
                  <c:v>平成22年度(2010)</c:v>
                </c:pt>
                <c:pt idx="1">
                  <c:v>平成23年度(2011)</c:v>
                </c:pt>
                <c:pt idx="2">
                  <c:v>平成24年度(2012)</c:v>
                </c:pt>
                <c:pt idx="3">
                  <c:v>平成25年度(2013)</c:v>
                </c:pt>
                <c:pt idx="4">
                  <c:v>平成26年度(2014)</c:v>
                </c:pt>
                <c:pt idx="5">
                  <c:v>平成27年度(2015)</c:v>
                </c:pt>
                <c:pt idx="6">
                  <c:v>平成28年度(2016)</c:v>
                </c:pt>
                <c:pt idx="7">
                  <c:v>平成29年度(2017)</c:v>
                </c:pt>
                <c:pt idx="8">
                  <c:v>平成30年度(2018)</c:v>
                </c:pt>
              </c:strCache>
            </c:strRef>
          </c:cat>
          <c:val>
            <c:numRef>
              <c:f>期末残高推移グラフ!$AL$165:$AT$165</c:f>
              <c:numCache>
                <c:formatCode>#,##0_ </c:formatCode>
                <c:ptCount val="9"/>
                <c:pt idx="0">
                  <c:v>23109835</c:v>
                </c:pt>
                <c:pt idx="1">
                  <c:v>17962610</c:v>
                </c:pt>
                <c:pt idx="2">
                  <c:v>13701132</c:v>
                </c:pt>
                <c:pt idx="3">
                  <c:v>10730323</c:v>
                </c:pt>
                <c:pt idx="4">
                  <c:v>8017519</c:v>
                </c:pt>
                <c:pt idx="5">
                  <c:v>5170391</c:v>
                </c:pt>
                <c:pt idx="6">
                  <c:v>4284454</c:v>
                </c:pt>
                <c:pt idx="7">
                  <c:v>3643057</c:v>
                </c:pt>
                <c:pt idx="8">
                  <c:v>1245377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A9-4E00-A529-5D1914F95170}"/>
            </c:ext>
          </c:extLst>
        </c:ser>
        <c:ser>
          <c:idx val="2"/>
          <c:order val="2"/>
          <c:tx>
            <c:strRef>
              <c:f>期末残高推移グラフ!$A$166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期末残高推移グラフ!$AL$163:$AT$163</c:f>
              <c:strCache>
                <c:ptCount val="9"/>
                <c:pt idx="0">
                  <c:v>平成22年度(2010)</c:v>
                </c:pt>
                <c:pt idx="1">
                  <c:v>平成23年度(2011)</c:v>
                </c:pt>
                <c:pt idx="2">
                  <c:v>平成24年度(2012)</c:v>
                </c:pt>
                <c:pt idx="3">
                  <c:v>平成25年度(2013)</c:v>
                </c:pt>
                <c:pt idx="4">
                  <c:v>平成26年度(2014)</c:v>
                </c:pt>
                <c:pt idx="5">
                  <c:v>平成27年度(2015)</c:v>
                </c:pt>
                <c:pt idx="6">
                  <c:v>平成28年度(2016)</c:v>
                </c:pt>
                <c:pt idx="7">
                  <c:v>平成29年度(2017)</c:v>
                </c:pt>
                <c:pt idx="8">
                  <c:v>平成30年度(2018)</c:v>
                </c:pt>
              </c:strCache>
            </c:strRef>
          </c:cat>
          <c:val>
            <c:numRef>
              <c:f>期末残高推移グラフ!$AL$166:$AT$166</c:f>
              <c:numCache>
                <c:formatCode>#,##0_ </c:formatCode>
                <c:ptCount val="9"/>
                <c:pt idx="0">
                  <c:v>1334424608</c:v>
                </c:pt>
                <c:pt idx="1">
                  <c:v>1326046784</c:v>
                </c:pt>
                <c:pt idx="2">
                  <c:v>1271303290</c:v>
                </c:pt>
                <c:pt idx="3">
                  <c:v>1183207829</c:v>
                </c:pt>
                <c:pt idx="4">
                  <c:v>1125302124</c:v>
                </c:pt>
                <c:pt idx="5">
                  <c:v>1035235985</c:v>
                </c:pt>
                <c:pt idx="6">
                  <c:v>921089215</c:v>
                </c:pt>
                <c:pt idx="7">
                  <c:v>798069894</c:v>
                </c:pt>
                <c:pt idx="8">
                  <c:v>696450064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A9-4E00-A529-5D1914F95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5686736"/>
        <c:axId val="985685752"/>
      </c:barChart>
      <c:catAx>
        <c:axId val="98568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5685752"/>
        <c:crosses val="autoZero"/>
        <c:auto val="1"/>
        <c:lblAlgn val="ctr"/>
        <c:lblOffset val="100"/>
        <c:noMultiLvlLbl val="0"/>
      </c:catAx>
      <c:valAx>
        <c:axId val="985685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568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Sheet3!$K$17</c:f>
              <c:strCache>
                <c:ptCount val="1"/>
                <c:pt idx="0">
                  <c:v>常駐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Sheet3!$A$18:$A$29</c:f>
              <c:strCache>
                <c:ptCount val="12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  <c:pt idx="7">
                  <c:v>2015年</c:v>
                </c:pt>
                <c:pt idx="8">
                  <c:v>2016年</c:v>
                </c:pt>
                <c:pt idx="9">
                  <c:v>2017年</c:v>
                </c:pt>
                <c:pt idx="10">
                  <c:v>2018年</c:v>
                </c:pt>
                <c:pt idx="11">
                  <c:v>2019年</c:v>
                </c:pt>
              </c:strCache>
            </c:strRef>
          </c:cat>
          <c:val>
            <c:numRef>
              <c:f>Sheet3!$K$18:$K$29</c:f>
              <c:numCache>
                <c:formatCode>General</c:formatCode>
                <c:ptCount val="12"/>
                <c:pt idx="0">
                  <c:v>17</c:v>
                </c:pt>
                <c:pt idx="1">
                  <c:v>18</c:v>
                </c:pt>
                <c:pt idx="2">
                  <c:v>20</c:v>
                </c:pt>
                <c:pt idx="3">
                  <c:v>25</c:v>
                </c:pt>
                <c:pt idx="4">
                  <c:v>20</c:v>
                </c:pt>
                <c:pt idx="5">
                  <c:v>17</c:v>
                </c:pt>
                <c:pt idx="6">
                  <c:v>15</c:v>
                </c:pt>
                <c:pt idx="7">
                  <c:v>13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B-4689-974D-F27488131578}"/>
            </c:ext>
          </c:extLst>
        </c:ser>
        <c:ser>
          <c:idx val="1"/>
          <c:order val="1"/>
          <c:tx>
            <c:strRef>
              <c:f>Sheet3!$L$17</c:f>
              <c:strCache>
                <c:ptCount val="1"/>
                <c:pt idx="0">
                  <c:v>パート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Sheet3!$A$18:$A$29</c:f>
              <c:strCache>
                <c:ptCount val="12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  <c:pt idx="7">
                  <c:v>2015年</c:v>
                </c:pt>
                <c:pt idx="8">
                  <c:v>2016年</c:v>
                </c:pt>
                <c:pt idx="9">
                  <c:v>2017年</c:v>
                </c:pt>
                <c:pt idx="10">
                  <c:v>2018年</c:v>
                </c:pt>
                <c:pt idx="11">
                  <c:v>2019年</c:v>
                </c:pt>
              </c:strCache>
            </c:strRef>
          </c:cat>
          <c:val>
            <c:numRef>
              <c:f>Sheet3!$L$18:$L$29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10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B-4689-974D-F27488131578}"/>
            </c:ext>
          </c:extLst>
        </c:ser>
        <c:ser>
          <c:idx val="2"/>
          <c:order val="2"/>
          <c:tx>
            <c:strRef>
              <c:f>Sheet3!$M$17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Sheet3!$A$18:$A$29</c:f>
              <c:strCache>
                <c:ptCount val="12"/>
                <c:pt idx="0">
                  <c:v>2008年</c:v>
                </c:pt>
                <c:pt idx="1">
                  <c:v>2009年</c:v>
                </c:pt>
                <c:pt idx="2">
                  <c:v>2010年</c:v>
                </c:pt>
                <c:pt idx="3">
                  <c:v>2011年</c:v>
                </c:pt>
                <c:pt idx="4">
                  <c:v>2012年</c:v>
                </c:pt>
                <c:pt idx="5">
                  <c:v>2013年</c:v>
                </c:pt>
                <c:pt idx="6">
                  <c:v>2014年</c:v>
                </c:pt>
                <c:pt idx="7">
                  <c:v>2015年</c:v>
                </c:pt>
                <c:pt idx="8">
                  <c:v>2016年</c:v>
                </c:pt>
                <c:pt idx="9">
                  <c:v>2017年</c:v>
                </c:pt>
                <c:pt idx="10">
                  <c:v>2018年</c:v>
                </c:pt>
                <c:pt idx="11">
                  <c:v>2019年</c:v>
                </c:pt>
              </c:strCache>
            </c:strRef>
          </c:cat>
          <c:val>
            <c:numRef>
              <c:f>Sheet3!$M$18:$M$29</c:f>
              <c:numCache>
                <c:formatCode>General</c:formatCode>
                <c:ptCount val="12"/>
                <c:pt idx="0">
                  <c:v>19</c:v>
                </c:pt>
                <c:pt idx="1">
                  <c:v>21</c:v>
                </c:pt>
                <c:pt idx="2">
                  <c:v>21</c:v>
                </c:pt>
                <c:pt idx="3">
                  <c:v>17</c:v>
                </c:pt>
                <c:pt idx="4">
                  <c:v>21</c:v>
                </c:pt>
                <c:pt idx="5">
                  <c:v>19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7B-4689-974D-F274881315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993941208"/>
        <c:axId val="993943176"/>
      </c:barChart>
      <c:catAx>
        <c:axId val="99394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943176"/>
        <c:crosses val="autoZero"/>
        <c:auto val="1"/>
        <c:lblAlgn val="ctr"/>
        <c:lblOffset val="100"/>
        <c:noMultiLvlLbl val="0"/>
      </c:catAx>
      <c:valAx>
        <c:axId val="993943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941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借入金・貸付金・出資金・剰余金額（単位：円）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主要経営指標グラフ!$A$51</c:f>
              <c:strCache>
                <c:ptCount val="1"/>
                <c:pt idx="0">
                  <c:v>短期借入金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主要経営指標グラフ!$B$49:$AU$49</c:f>
              <c:strCache>
                <c:ptCount val="46"/>
                <c:pt idx="0">
                  <c:v>1971年度</c:v>
                </c:pt>
                <c:pt idx="1">
                  <c:v>1974年度</c:v>
                </c:pt>
                <c:pt idx="2">
                  <c:v>1975年度</c:v>
                </c:pt>
                <c:pt idx="3">
                  <c:v>1976年度</c:v>
                </c:pt>
                <c:pt idx="4">
                  <c:v>1977年度</c:v>
                </c:pt>
                <c:pt idx="5">
                  <c:v>1978年度</c:v>
                </c:pt>
                <c:pt idx="6">
                  <c:v>1979年度</c:v>
                </c:pt>
                <c:pt idx="7">
                  <c:v>1980年度</c:v>
                </c:pt>
                <c:pt idx="8">
                  <c:v>1981年度</c:v>
                </c:pt>
                <c:pt idx="9">
                  <c:v>1982年度</c:v>
                </c:pt>
                <c:pt idx="10">
                  <c:v>1983年度</c:v>
                </c:pt>
                <c:pt idx="11">
                  <c:v>1984年度</c:v>
                </c:pt>
                <c:pt idx="12">
                  <c:v>1985年度</c:v>
                </c:pt>
                <c:pt idx="13">
                  <c:v>1986年度</c:v>
                </c:pt>
                <c:pt idx="14">
                  <c:v>1987年度</c:v>
                </c:pt>
                <c:pt idx="15">
                  <c:v>1988年度</c:v>
                </c:pt>
                <c:pt idx="16">
                  <c:v>1989年度</c:v>
                </c:pt>
                <c:pt idx="17">
                  <c:v>1990年度</c:v>
                </c:pt>
                <c:pt idx="18">
                  <c:v>1991年度</c:v>
                </c:pt>
                <c:pt idx="19">
                  <c:v>1992年度</c:v>
                </c:pt>
                <c:pt idx="20">
                  <c:v>1993年度</c:v>
                </c:pt>
                <c:pt idx="21">
                  <c:v>1994年度</c:v>
                </c:pt>
                <c:pt idx="22">
                  <c:v>1995年度</c:v>
                </c:pt>
                <c:pt idx="23">
                  <c:v>1996年度</c:v>
                </c:pt>
                <c:pt idx="24">
                  <c:v>1997年度</c:v>
                </c:pt>
                <c:pt idx="25">
                  <c:v>1998年度</c:v>
                </c:pt>
                <c:pt idx="26">
                  <c:v>1999年度</c:v>
                </c:pt>
                <c:pt idx="27">
                  <c:v>2000年度</c:v>
                </c:pt>
                <c:pt idx="28">
                  <c:v>2001年度</c:v>
                </c:pt>
                <c:pt idx="29">
                  <c:v>2002年度</c:v>
                </c:pt>
                <c:pt idx="30">
                  <c:v>2003年度</c:v>
                </c:pt>
                <c:pt idx="31">
                  <c:v>2004年度</c:v>
                </c:pt>
                <c:pt idx="32">
                  <c:v>2005年度</c:v>
                </c:pt>
                <c:pt idx="33">
                  <c:v>2006年度</c:v>
                </c:pt>
                <c:pt idx="34">
                  <c:v>2007年度</c:v>
                </c:pt>
                <c:pt idx="35">
                  <c:v>2008年度</c:v>
                </c:pt>
                <c:pt idx="36">
                  <c:v>2009年度</c:v>
                </c:pt>
                <c:pt idx="37">
                  <c:v>2010年度</c:v>
                </c:pt>
                <c:pt idx="38">
                  <c:v>2011年度</c:v>
                </c:pt>
                <c:pt idx="39">
                  <c:v>2012年度</c:v>
                </c:pt>
                <c:pt idx="40">
                  <c:v>2013年度</c:v>
                </c:pt>
                <c:pt idx="41">
                  <c:v>2014年度</c:v>
                </c:pt>
                <c:pt idx="42">
                  <c:v>2015年度</c:v>
                </c:pt>
                <c:pt idx="43">
                  <c:v>2016年度</c:v>
                </c:pt>
                <c:pt idx="44">
                  <c:v>2017年度</c:v>
                </c:pt>
                <c:pt idx="45">
                  <c:v>2018年度</c:v>
                </c:pt>
              </c:strCache>
            </c:strRef>
          </c:cat>
          <c:val>
            <c:numRef>
              <c:f>主要経営指標グラフ!$B$51:$AU$51</c:f>
              <c:numCache>
                <c:formatCode>#,##0;"△ "#,##0</c:formatCode>
                <c:ptCount val="46"/>
                <c:pt idx="0">
                  <c:v>60000000</c:v>
                </c:pt>
                <c:pt idx="1">
                  <c:v>39000000</c:v>
                </c:pt>
                <c:pt idx="2">
                  <c:v>45000000</c:v>
                </c:pt>
                <c:pt idx="3">
                  <c:v>55000000</c:v>
                </c:pt>
                <c:pt idx="4">
                  <c:v>101900000</c:v>
                </c:pt>
                <c:pt idx="5">
                  <c:v>86100000</c:v>
                </c:pt>
                <c:pt idx="6">
                  <c:v>78600000</c:v>
                </c:pt>
                <c:pt idx="7">
                  <c:v>183100000</c:v>
                </c:pt>
                <c:pt idx="8">
                  <c:v>272600000</c:v>
                </c:pt>
                <c:pt idx="9">
                  <c:v>321550000</c:v>
                </c:pt>
                <c:pt idx="10">
                  <c:v>393657000</c:v>
                </c:pt>
                <c:pt idx="11">
                  <c:v>604980400</c:v>
                </c:pt>
                <c:pt idx="12">
                  <c:v>645000000</c:v>
                </c:pt>
                <c:pt idx="13">
                  <c:v>590000000</c:v>
                </c:pt>
                <c:pt idx="14">
                  <c:v>905000000</c:v>
                </c:pt>
                <c:pt idx="15">
                  <c:v>1058099869</c:v>
                </c:pt>
                <c:pt idx="16">
                  <c:v>1261886480</c:v>
                </c:pt>
                <c:pt idx="17">
                  <c:v>1420160735</c:v>
                </c:pt>
                <c:pt idx="18">
                  <c:v>1694146360</c:v>
                </c:pt>
                <c:pt idx="19">
                  <c:v>1979916857</c:v>
                </c:pt>
                <c:pt idx="20">
                  <c:v>2235884261</c:v>
                </c:pt>
                <c:pt idx="21">
                  <c:v>2643455535</c:v>
                </c:pt>
                <c:pt idx="22">
                  <c:v>2719527471</c:v>
                </c:pt>
                <c:pt idx="23">
                  <c:v>3153997281</c:v>
                </c:pt>
                <c:pt idx="24">
                  <c:v>3500310515</c:v>
                </c:pt>
                <c:pt idx="25">
                  <c:v>3552011194</c:v>
                </c:pt>
                <c:pt idx="26">
                  <c:v>3935335449</c:v>
                </c:pt>
                <c:pt idx="27">
                  <c:v>4214754287</c:v>
                </c:pt>
                <c:pt idx="28">
                  <c:v>4862000000</c:v>
                </c:pt>
                <c:pt idx="29">
                  <c:v>5393531577</c:v>
                </c:pt>
                <c:pt idx="30">
                  <c:v>5722201988</c:v>
                </c:pt>
                <c:pt idx="31">
                  <c:v>6169460796</c:v>
                </c:pt>
                <c:pt idx="32">
                  <c:v>6025694408</c:v>
                </c:pt>
                <c:pt idx="33">
                  <c:v>5707401544</c:v>
                </c:pt>
                <c:pt idx="34">
                  <c:v>5209257778</c:v>
                </c:pt>
                <c:pt idx="35">
                  <c:v>4768492682</c:v>
                </c:pt>
                <c:pt idx="36">
                  <c:v>4479998866</c:v>
                </c:pt>
                <c:pt idx="37">
                  <c:v>3911871805</c:v>
                </c:pt>
                <c:pt idx="38">
                  <c:v>3500290961</c:v>
                </c:pt>
                <c:pt idx="39">
                  <c:v>3142982057</c:v>
                </c:pt>
                <c:pt idx="40">
                  <c:v>2615026484</c:v>
                </c:pt>
                <c:pt idx="41">
                  <c:v>2287394117</c:v>
                </c:pt>
                <c:pt idx="42">
                  <c:v>1873861231</c:v>
                </c:pt>
                <c:pt idx="43">
                  <c:v>1548811522</c:v>
                </c:pt>
                <c:pt idx="44">
                  <c:v>1268932009</c:v>
                </c:pt>
                <c:pt idx="45">
                  <c:v>1058581768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F5-4118-B707-69B758C7F39F}"/>
            </c:ext>
          </c:extLst>
        </c:ser>
        <c:ser>
          <c:idx val="2"/>
          <c:order val="2"/>
          <c:tx>
            <c:strRef>
              <c:f>主要経営指標グラフ!$A$52</c:f>
              <c:strCache>
                <c:ptCount val="1"/>
                <c:pt idx="0">
                  <c:v>出資金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主要経営指標グラフ!$B$49:$AU$49</c:f>
              <c:strCache>
                <c:ptCount val="46"/>
                <c:pt idx="0">
                  <c:v>1971年度</c:v>
                </c:pt>
                <c:pt idx="1">
                  <c:v>1974年度</c:v>
                </c:pt>
                <c:pt idx="2">
                  <c:v>1975年度</c:v>
                </c:pt>
                <c:pt idx="3">
                  <c:v>1976年度</c:v>
                </c:pt>
                <c:pt idx="4">
                  <c:v>1977年度</c:v>
                </c:pt>
                <c:pt idx="5">
                  <c:v>1978年度</c:v>
                </c:pt>
                <c:pt idx="6">
                  <c:v>1979年度</c:v>
                </c:pt>
                <c:pt idx="7">
                  <c:v>1980年度</c:v>
                </c:pt>
                <c:pt idx="8">
                  <c:v>1981年度</c:v>
                </c:pt>
                <c:pt idx="9">
                  <c:v>1982年度</c:v>
                </c:pt>
                <c:pt idx="10">
                  <c:v>1983年度</c:v>
                </c:pt>
                <c:pt idx="11">
                  <c:v>1984年度</c:v>
                </c:pt>
                <c:pt idx="12">
                  <c:v>1985年度</c:v>
                </c:pt>
                <c:pt idx="13">
                  <c:v>1986年度</c:v>
                </c:pt>
                <c:pt idx="14">
                  <c:v>1987年度</c:v>
                </c:pt>
                <c:pt idx="15">
                  <c:v>1988年度</c:v>
                </c:pt>
                <c:pt idx="16">
                  <c:v>1989年度</c:v>
                </c:pt>
                <c:pt idx="17">
                  <c:v>1990年度</c:v>
                </c:pt>
                <c:pt idx="18">
                  <c:v>1991年度</c:v>
                </c:pt>
                <c:pt idx="19">
                  <c:v>1992年度</c:v>
                </c:pt>
                <c:pt idx="20">
                  <c:v>1993年度</c:v>
                </c:pt>
                <c:pt idx="21">
                  <c:v>1994年度</c:v>
                </c:pt>
                <c:pt idx="22">
                  <c:v>1995年度</c:v>
                </c:pt>
                <c:pt idx="23">
                  <c:v>1996年度</c:v>
                </c:pt>
                <c:pt idx="24">
                  <c:v>1997年度</c:v>
                </c:pt>
                <c:pt idx="25">
                  <c:v>1998年度</c:v>
                </c:pt>
                <c:pt idx="26">
                  <c:v>1999年度</c:v>
                </c:pt>
                <c:pt idx="27">
                  <c:v>2000年度</c:v>
                </c:pt>
                <c:pt idx="28">
                  <c:v>2001年度</c:v>
                </c:pt>
                <c:pt idx="29">
                  <c:v>2002年度</c:v>
                </c:pt>
                <c:pt idx="30">
                  <c:v>2003年度</c:v>
                </c:pt>
                <c:pt idx="31">
                  <c:v>2004年度</c:v>
                </c:pt>
                <c:pt idx="32">
                  <c:v>2005年度</c:v>
                </c:pt>
                <c:pt idx="33">
                  <c:v>2006年度</c:v>
                </c:pt>
                <c:pt idx="34">
                  <c:v>2007年度</c:v>
                </c:pt>
                <c:pt idx="35">
                  <c:v>2008年度</c:v>
                </c:pt>
                <c:pt idx="36">
                  <c:v>2009年度</c:v>
                </c:pt>
                <c:pt idx="37">
                  <c:v>2010年度</c:v>
                </c:pt>
                <c:pt idx="38">
                  <c:v>2011年度</c:v>
                </c:pt>
                <c:pt idx="39">
                  <c:v>2012年度</c:v>
                </c:pt>
                <c:pt idx="40">
                  <c:v>2013年度</c:v>
                </c:pt>
                <c:pt idx="41">
                  <c:v>2014年度</c:v>
                </c:pt>
                <c:pt idx="42">
                  <c:v>2015年度</c:v>
                </c:pt>
                <c:pt idx="43">
                  <c:v>2016年度</c:v>
                </c:pt>
                <c:pt idx="44">
                  <c:v>2017年度</c:v>
                </c:pt>
                <c:pt idx="45">
                  <c:v>2018年度</c:v>
                </c:pt>
              </c:strCache>
            </c:strRef>
          </c:cat>
          <c:val>
            <c:numRef>
              <c:f>主要経営指標グラフ!$B$52:$AU$52</c:f>
              <c:numCache>
                <c:formatCode>#,##0;"△ "#,##0</c:formatCode>
                <c:ptCount val="46"/>
                <c:pt idx="0">
                  <c:v>507500</c:v>
                </c:pt>
                <c:pt idx="1">
                  <c:v>991000</c:v>
                </c:pt>
                <c:pt idx="2">
                  <c:v>891000</c:v>
                </c:pt>
                <c:pt idx="3">
                  <c:v>1240500</c:v>
                </c:pt>
                <c:pt idx="4">
                  <c:v>1761000</c:v>
                </c:pt>
                <c:pt idx="5">
                  <c:v>2106000</c:v>
                </c:pt>
                <c:pt idx="6">
                  <c:v>2214000</c:v>
                </c:pt>
                <c:pt idx="7">
                  <c:v>2846000</c:v>
                </c:pt>
                <c:pt idx="8">
                  <c:v>2808000</c:v>
                </c:pt>
                <c:pt idx="9">
                  <c:v>5998500</c:v>
                </c:pt>
                <c:pt idx="10">
                  <c:v>11698969</c:v>
                </c:pt>
                <c:pt idx="11">
                  <c:v>18147500</c:v>
                </c:pt>
                <c:pt idx="12">
                  <c:v>21274000</c:v>
                </c:pt>
                <c:pt idx="13">
                  <c:v>24246331</c:v>
                </c:pt>
                <c:pt idx="14">
                  <c:v>106193674</c:v>
                </c:pt>
                <c:pt idx="15">
                  <c:v>117599803</c:v>
                </c:pt>
                <c:pt idx="16">
                  <c:v>131227450</c:v>
                </c:pt>
                <c:pt idx="17">
                  <c:v>138978980</c:v>
                </c:pt>
                <c:pt idx="18">
                  <c:v>160903445</c:v>
                </c:pt>
                <c:pt idx="19">
                  <c:v>181076991</c:v>
                </c:pt>
                <c:pt idx="20">
                  <c:v>222661591</c:v>
                </c:pt>
                <c:pt idx="21">
                  <c:v>256665890</c:v>
                </c:pt>
                <c:pt idx="22">
                  <c:v>281799053</c:v>
                </c:pt>
                <c:pt idx="23">
                  <c:v>325628242</c:v>
                </c:pt>
                <c:pt idx="24">
                  <c:v>359110500</c:v>
                </c:pt>
                <c:pt idx="25">
                  <c:v>400766500</c:v>
                </c:pt>
                <c:pt idx="26">
                  <c:v>456753500</c:v>
                </c:pt>
                <c:pt idx="27">
                  <c:v>526283000</c:v>
                </c:pt>
                <c:pt idx="28">
                  <c:v>610693000</c:v>
                </c:pt>
                <c:pt idx="29">
                  <c:v>767294500</c:v>
                </c:pt>
                <c:pt idx="30">
                  <c:v>898358000</c:v>
                </c:pt>
                <c:pt idx="31">
                  <c:v>998373500</c:v>
                </c:pt>
                <c:pt idx="32">
                  <c:v>1014793500</c:v>
                </c:pt>
                <c:pt idx="33">
                  <c:v>1063673000</c:v>
                </c:pt>
                <c:pt idx="34">
                  <c:v>1073210000</c:v>
                </c:pt>
                <c:pt idx="35">
                  <c:v>944397500</c:v>
                </c:pt>
                <c:pt idx="36">
                  <c:v>910822500</c:v>
                </c:pt>
                <c:pt idx="37">
                  <c:v>882198500</c:v>
                </c:pt>
                <c:pt idx="38">
                  <c:v>857604500</c:v>
                </c:pt>
                <c:pt idx="39">
                  <c:v>813657000</c:v>
                </c:pt>
                <c:pt idx="40">
                  <c:v>783969000</c:v>
                </c:pt>
                <c:pt idx="41">
                  <c:v>768776000</c:v>
                </c:pt>
                <c:pt idx="42">
                  <c:v>815266000</c:v>
                </c:pt>
                <c:pt idx="43">
                  <c:v>757387000</c:v>
                </c:pt>
                <c:pt idx="44">
                  <c:v>730070000</c:v>
                </c:pt>
                <c:pt idx="45">
                  <c:v>700307500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F5-4118-B707-69B758C7F39F}"/>
            </c:ext>
          </c:extLst>
        </c:ser>
        <c:ser>
          <c:idx val="3"/>
          <c:order val="3"/>
          <c:tx>
            <c:strRef>
              <c:f>主要経営指標グラフ!$A$53</c:f>
              <c:strCache>
                <c:ptCount val="1"/>
                <c:pt idx="0">
                  <c:v>剰余金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主要経営指標グラフ!$B$49:$AU$49</c:f>
              <c:strCache>
                <c:ptCount val="46"/>
                <c:pt idx="0">
                  <c:v>1971年度</c:v>
                </c:pt>
                <c:pt idx="1">
                  <c:v>1974年度</c:v>
                </c:pt>
                <c:pt idx="2">
                  <c:v>1975年度</c:v>
                </c:pt>
                <c:pt idx="3">
                  <c:v>1976年度</c:v>
                </c:pt>
                <c:pt idx="4">
                  <c:v>1977年度</c:v>
                </c:pt>
                <c:pt idx="5">
                  <c:v>1978年度</c:v>
                </c:pt>
                <c:pt idx="6">
                  <c:v>1979年度</c:v>
                </c:pt>
                <c:pt idx="7">
                  <c:v>1980年度</c:v>
                </c:pt>
                <c:pt idx="8">
                  <c:v>1981年度</c:v>
                </c:pt>
                <c:pt idx="9">
                  <c:v>1982年度</c:v>
                </c:pt>
                <c:pt idx="10">
                  <c:v>1983年度</c:v>
                </c:pt>
                <c:pt idx="11">
                  <c:v>1984年度</c:v>
                </c:pt>
                <c:pt idx="12">
                  <c:v>1985年度</c:v>
                </c:pt>
                <c:pt idx="13">
                  <c:v>1986年度</c:v>
                </c:pt>
                <c:pt idx="14">
                  <c:v>1987年度</c:v>
                </c:pt>
                <c:pt idx="15">
                  <c:v>1988年度</c:v>
                </c:pt>
                <c:pt idx="16">
                  <c:v>1989年度</c:v>
                </c:pt>
                <c:pt idx="17">
                  <c:v>1990年度</c:v>
                </c:pt>
                <c:pt idx="18">
                  <c:v>1991年度</c:v>
                </c:pt>
                <c:pt idx="19">
                  <c:v>1992年度</c:v>
                </c:pt>
                <c:pt idx="20">
                  <c:v>1993年度</c:v>
                </c:pt>
                <c:pt idx="21">
                  <c:v>1994年度</c:v>
                </c:pt>
                <c:pt idx="22">
                  <c:v>1995年度</c:v>
                </c:pt>
                <c:pt idx="23">
                  <c:v>1996年度</c:v>
                </c:pt>
                <c:pt idx="24">
                  <c:v>1997年度</c:v>
                </c:pt>
                <c:pt idx="25">
                  <c:v>1998年度</c:v>
                </c:pt>
                <c:pt idx="26">
                  <c:v>1999年度</c:v>
                </c:pt>
                <c:pt idx="27">
                  <c:v>2000年度</c:v>
                </c:pt>
                <c:pt idx="28">
                  <c:v>2001年度</c:v>
                </c:pt>
                <c:pt idx="29">
                  <c:v>2002年度</c:v>
                </c:pt>
                <c:pt idx="30">
                  <c:v>2003年度</c:v>
                </c:pt>
                <c:pt idx="31">
                  <c:v>2004年度</c:v>
                </c:pt>
                <c:pt idx="32">
                  <c:v>2005年度</c:v>
                </c:pt>
                <c:pt idx="33">
                  <c:v>2006年度</c:v>
                </c:pt>
                <c:pt idx="34">
                  <c:v>2007年度</c:v>
                </c:pt>
                <c:pt idx="35">
                  <c:v>2008年度</c:v>
                </c:pt>
                <c:pt idx="36">
                  <c:v>2009年度</c:v>
                </c:pt>
                <c:pt idx="37">
                  <c:v>2010年度</c:v>
                </c:pt>
                <c:pt idx="38">
                  <c:v>2011年度</c:v>
                </c:pt>
                <c:pt idx="39">
                  <c:v>2012年度</c:v>
                </c:pt>
                <c:pt idx="40">
                  <c:v>2013年度</c:v>
                </c:pt>
                <c:pt idx="41">
                  <c:v>2014年度</c:v>
                </c:pt>
                <c:pt idx="42">
                  <c:v>2015年度</c:v>
                </c:pt>
                <c:pt idx="43">
                  <c:v>2016年度</c:v>
                </c:pt>
                <c:pt idx="44">
                  <c:v>2017年度</c:v>
                </c:pt>
                <c:pt idx="45">
                  <c:v>2018年度</c:v>
                </c:pt>
              </c:strCache>
            </c:strRef>
          </c:cat>
          <c:val>
            <c:numRef>
              <c:f>主要経営指標グラフ!$B$53:$AU$53</c:f>
              <c:numCache>
                <c:formatCode>#,##0;"△ "#,##0</c:formatCode>
                <c:ptCount val="46"/>
                <c:pt idx="0">
                  <c:v>515763</c:v>
                </c:pt>
                <c:pt idx="1">
                  <c:v>-1265578</c:v>
                </c:pt>
                <c:pt idx="2">
                  <c:v>-2006229</c:v>
                </c:pt>
                <c:pt idx="3">
                  <c:v>-123689</c:v>
                </c:pt>
                <c:pt idx="4">
                  <c:v>141455</c:v>
                </c:pt>
                <c:pt idx="5">
                  <c:v>1323534</c:v>
                </c:pt>
                <c:pt idx="6">
                  <c:v>2733427</c:v>
                </c:pt>
                <c:pt idx="7">
                  <c:v>1402385</c:v>
                </c:pt>
                <c:pt idx="8">
                  <c:v>7720944</c:v>
                </c:pt>
                <c:pt idx="9">
                  <c:v>4912474</c:v>
                </c:pt>
                <c:pt idx="10">
                  <c:v>6701831</c:v>
                </c:pt>
                <c:pt idx="11">
                  <c:v>5661889</c:v>
                </c:pt>
                <c:pt idx="12">
                  <c:v>6716639</c:v>
                </c:pt>
                <c:pt idx="13">
                  <c:v>6275288</c:v>
                </c:pt>
                <c:pt idx="14">
                  <c:v>8057146</c:v>
                </c:pt>
                <c:pt idx="15">
                  <c:v>14486841</c:v>
                </c:pt>
                <c:pt idx="16">
                  <c:v>15264177</c:v>
                </c:pt>
                <c:pt idx="17">
                  <c:v>18943976</c:v>
                </c:pt>
                <c:pt idx="18">
                  <c:v>17100574</c:v>
                </c:pt>
                <c:pt idx="19">
                  <c:v>40039560</c:v>
                </c:pt>
                <c:pt idx="20">
                  <c:v>58683367</c:v>
                </c:pt>
                <c:pt idx="21">
                  <c:v>68707809</c:v>
                </c:pt>
                <c:pt idx="22">
                  <c:v>107187895</c:v>
                </c:pt>
                <c:pt idx="23">
                  <c:v>132176267</c:v>
                </c:pt>
                <c:pt idx="24">
                  <c:v>181046564</c:v>
                </c:pt>
                <c:pt idx="25">
                  <c:v>223636189</c:v>
                </c:pt>
                <c:pt idx="26">
                  <c:v>262129230</c:v>
                </c:pt>
                <c:pt idx="27">
                  <c:v>293222673</c:v>
                </c:pt>
                <c:pt idx="28">
                  <c:v>321397928</c:v>
                </c:pt>
                <c:pt idx="29">
                  <c:v>379443377</c:v>
                </c:pt>
                <c:pt idx="30">
                  <c:v>441066319</c:v>
                </c:pt>
                <c:pt idx="31">
                  <c:v>458929196</c:v>
                </c:pt>
                <c:pt idx="32">
                  <c:v>485045125</c:v>
                </c:pt>
                <c:pt idx="33">
                  <c:v>532630554</c:v>
                </c:pt>
                <c:pt idx="34">
                  <c:v>536411203</c:v>
                </c:pt>
                <c:pt idx="35">
                  <c:v>596461234</c:v>
                </c:pt>
                <c:pt idx="36">
                  <c:v>606555044</c:v>
                </c:pt>
                <c:pt idx="37">
                  <c:v>362713163</c:v>
                </c:pt>
                <c:pt idx="38">
                  <c:v>599959685</c:v>
                </c:pt>
                <c:pt idx="39">
                  <c:v>623020770</c:v>
                </c:pt>
                <c:pt idx="40">
                  <c:v>634730392</c:v>
                </c:pt>
                <c:pt idx="41">
                  <c:v>681419859</c:v>
                </c:pt>
                <c:pt idx="42">
                  <c:v>709618038</c:v>
                </c:pt>
                <c:pt idx="43">
                  <c:v>721941240</c:v>
                </c:pt>
                <c:pt idx="44">
                  <c:v>741193289</c:v>
                </c:pt>
                <c:pt idx="45">
                  <c:v>780542358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F5-4118-B707-69B758C7F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25190480"/>
        <c:axId val="425191136"/>
      </c:barChart>
      <c:lineChart>
        <c:grouping val="standard"/>
        <c:varyColors val="0"/>
        <c:ser>
          <c:idx val="0"/>
          <c:order val="0"/>
          <c:tx>
            <c:strRef>
              <c:f>主要経営指標グラフ!$A$50</c:f>
              <c:strCache>
                <c:ptCount val="1"/>
                <c:pt idx="0">
                  <c:v>短期貸付金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主要経営指標グラフ!$B$49:$AU$49</c:f>
              <c:strCache>
                <c:ptCount val="46"/>
                <c:pt idx="0">
                  <c:v>1971年度</c:v>
                </c:pt>
                <c:pt idx="1">
                  <c:v>1974年度</c:v>
                </c:pt>
                <c:pt idx="2">
                  <c:v>1975年度</c:v>
                </c:pt>
                <c:pt idx="3">
                  <c:v>1976年度</c:v>
                </c:pt>
                <c:pt idx="4">
                  <c:v>1977年度</c:v>
                </c:pt>
                <c:pt idx="5">
                  <c:v>1978年度</c:v>
                </c:pt>
                <c:pt idx="6">
                  <c:v>1979年度</c:v>
                </c:pt>
                <c:pt idx="7">
                  <c:v>1980年度</c:v>
                </c:pt>
                <c:pt idx="8">
                  <c:v>1981年度</c:v>
                </c:pt>
                <c:pt idx="9">
                  <c:v>1982年度</c:v>
                </c:pt>
                <c:pt idx="10">
                  <c:v>1983年度</c:v>
                </c:pt>
                <c:pt idx="11">
                  <c:v>1984年度</c:v>
                </c:pt>
                <c:pt idx="12">
                  <c:v>1985年度</c:v>
                </c:pt>
                <c:pt idx="13">
                  <c:v>1986年度</c:v>
                </c:pt>
                <c:pt idx="14">
                  <c:v>1987年度</c:v>
                </c:pt>
                <c:pt idx="15">
                  <c:v>1988年度</c:v>
                </c:pt>
                <c:pt idx="16">
                  <c:v>1989年度</c:v>
                </c:pt>
                <c:pt idx="17">
                  <c:v>1990年度</c:v>
                </c:pt>
                <c:pt idx="18">
                  <c:v>1991年度</c:v>
                </c:pt>
                <c:pt idx="19">
                  <c:v>1992年度</c:v>
                </c:pt>
                <c:pt idx="20">
                  <c:v>1993年度</c:v>
                </c:pt>
                <c:pt idx="21">
                  <c:v>1994年度</c:v>
                </c:pt>
                <c:pt idx="22">
                  <c:v>1995年度</c:v>
                </c:pt>
                <c:pt idx="23">
                  <c:v>1996年度</c:v>
                </c:pt>
                <c:pt idx="24">
                  <c:v>1997年度</c:v>
                </c:pt>
                <c:pt idx="25">
                  <c:v>1998年度</c:v>
                </c:pt>
                <c:pt idx="26">
                  <c:v>1999年度</c:v>
                </c:pt>
                <c:pt idx="27">
                  <c:v>2000年度</c:v>
                </c:pt>
                <c:pt idx="28">
                  <c:v>2001年度</c:v>
                </c:pt>
                <c:pt idx="29">
                  <c:v>2002年度</c:v>
                </c:pt>
                <c:pt idx="30">
                  <c:v>2003年度</c:v>
                </c:pt>
                <c:pt idx="31">
                  <c:v>2004年度</c:v>
                </c:pt>
                <c:pt idx="32">
                  <c:v>2005年度</c:v>
                </c:pt>
                <c:pt idx="33">
                  <c:v>2006年度</c:v>
                </c:pt>
                <c:pt idx="34">
                  <c:v>2007年度</c:v>
                </c:pt>
                <c:pt idx="35">
                  <c:v>2008年度</c:v>
                </c:pt>
                <c:pt idx="36">
                  <c:v>2009年度</c:v>
                </c:pt>
                <c:pt idx="37">
                  <c:v>2010年度</c:v>
                </c:pt>
                <c:pt idx="38">
                  <c:v>2011年度</c:v>
                </c:pt>
                <c:pt idx="39">
                  <c:v>2012年度</c:v>
                </c:pt>
                <c:pt idx="40">
                  <c:v>2013年度</c:v>
                </c:pt>
                <c:pt idx="41">
                  <c:v>2014年度</c:v>
                </c:pt>
                <c:pt idx="42">
                  <c:v>2015年度</c:v>
                </c:pt>
                <c:pt idx="43">
                  <c:v>2016年度</c:v>
                </c:pt>
                <c:pt idx="44">
                  <c:v>2017年度</c:v>
                </c:pt>
                <c:pt idx="45">
                  <c:v>2018年度</c:v>
                </c:pt>
              </c:strCache>
            </c:strRef>
          </c:cat>
          <c:val>
            <c:numRef>
              <c:f>主要経営指標グラフ!$B$50:$AU$50</c:f>
              <c:numCache>
                <c:formatCode>#,##0;"△ "#,##0</c:formatCode>
                <c:ptCount val="46"/>
                <c:pt idx="0">
                  <c:v>56467806</c:v>
                </c:pt>
                <c:pt idx="1">
                  <c:v>27852749</c:v>
                </c:pt>
                <c:pt idx="2">
                  <c:v>38742267</c:v>
                </c:pt>
                <c:pt idx="3">
                  <c:v>39729896</c:v>
                </c:pt>
                <c:pt idx="4">
                  <c:v>68839790</c:v>
                </c:pt>
                <c:pt idx="5">
                  <c:v>72944271</c:v>
                </c:pt>
                <c:pt idx="6">
                  <c:v>77292930</c:v>
                </c:pt>
                <c:pt idx="7">
                  <c:v>137603039</c:v>
                </c:pt>
                <c:pt idx="8">
                  <c:v>210117433</c:v>
                </c:pt>
                <c:pt idx="9">
                  <c:v>340906414</c:v>
                </c:pt>
                <c:pt idx="10">
                  <c:v>462114153</c:v>
                </c:pt>
                <c:pt idx="11">
                  <c:v>605317992</c:v>
                </c:pt>
                <c:pt idx="12">
                  <c:v>610811443</c:v>
                </c:pt>
                <c:pt idx="13">
                  <c:v>548117784</c:v>
                </c:pt>
                <c:pt idx="14">
                  <c:v>977261801</c:v>
                </c:pt>
                <c:pt idx="15">
                  <c:v>1148075293</c:v>
                </c:pt>
                <c:pt idx="16">
                  <c:v>1336722065</c:v>
                </c:pt>
                <c:pt idx="17">
                  <c:v>1574665736</c:v>
                </c:pt>
                <c:pt idx="18">
                  <c:v>1909467695</c:v>
                </c:pt>
                <c:pt idx="19">
                  <c:v>2233860907</c:v>
                </c:pt>
                <c:pt idx="20">
                  <c:v>2564628088</c:v>
                </c:pt>
                <c:pt idx="21">
                  <c:v>2932720782</c:v>
                </c:pt>
                <c:pt idx="22">
                  <c:v>3060330824</c:v>
                </c:pt>
                <c:pt idx="23">
                  <c:v>3581582216</c:v>
                </c:pt>
                <c:pt idx="24">
                  <c:v>4003922329</c:v>
                </c:pt>
                <c:pt idx="25">
                  <c:v>4102242138</c:v>
                </c:pt>
                <c:pt idx="26">
                  <c:v>4585975330</c:v>
                </c:pt>
                <c:pt idx="27">
                  <c:v>5415534204</c:v>
                </c:pt>
                <c:pt idx="28">
                  <c:v>6058496101</c:v>
                </c:pt>
                <c:pt idx="29">
                  <c:v>6925468079</c:v>
                </c:pt>
                <c:pt idx="30">
                  <c:v>7566202310</c:v>
                </c:pt>
                <c:pt idx="31">
                  <c:v>7970472842</c:v>
                </c:pt>
                <c:pt idx="32">
                  <c:v>7839237083</c:v>
                </c:pt>
                <c:pt idx="33">
                  <c:v>7465974646</c:v>
                </c:pt>
                <c:pt idx="34">
                  <c:v>7115508024</c:v>
                </c:pt>
                <c:pt idx="35">
                  <c:v>6167948401</c:v>
                </c:pt>
                <c:pt idx="36">
                  <c:v>5334141026</c:v>
                </c:pt>
                <c:pt idx="37">
                  <c:v>4947628206</c:v>
                </c:pt>
                <c:pt idx="38">
                  <c:v>4557057492</c:v>
                </c:pt>
                <c:pt idx="39">
                  <c:v>4070098489</c:v>
                </c:pt>
                <c:pt idx="40">
                  <c:v>3495128155</c:v>
                </c:pt>
                <c:pt idx="41">
                  <c:v>3141588026</c:v>
                </c:pt>
                <c:pt idx="42">
                  <c:v>2815395687</c:v>
                </c:pt>
                <c:pt idx="43">
                  <c:v>2434952629</c:v>
                </c:pt>
                <c:pt idx="44">
                  <c:v>2104718322</c:v>
                </c:pt>
                <c:pt idx="45">
                  <c:v>1894483733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F5-4118-B707-69B758C7F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190480"/>
        <c:axId val="425191136"/>
      </c:lineChart>
      <c:catAx>
        <c:axId val="42519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5191136"/>
        <c:crosses val="autoZero"/>
        <c:auto val="1"/>
        <c:lblAlgn val="ctr"/>
        <c:lblOffset val="100"/>
        <c:noMultiLvlLbl val="0"/>
      </c:catAx>
      <c:valAx>
        <c:axId val="42519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519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主要経営指標グラフ!$A$100</c:f>
              <c:strCache>
                <c:ptCount val="1"/>
                <c:pt idx="0">
                  <c:v>貸付残高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主要経営指標グラフ!$B$99:$AV$99</c:f>
              <c:strCache>
                <c:ptCount val="47"/>
                <c:pt idx="0">
                  <c:v>昭和46年度</c:v>
                </c:pt>
                <c:pt idx="1">
                  <c:v>昭和49年度</c:v>
                </c:pt>
                <c:pt idx="2">
                  <c:v>昭和50年度</c:v>
                </c:pt>
                <c:pt idx="3">
                  <c:v>昭和51年度</c:v>
                </c:pt>
                <c:pt idx="4">
                  <c:v>昭和52年度</c:v>
                </c:pt>
                <c:pt idx="5">
                  <c:v>昭和53年度</c:v>
                </c:pt>
                <c:pt idx="6">
                  <c:v>昭和54年度</c:v>
                </c:pt>
                <c:pt idx="7">
                  <c:v>昭和55年度</c:v>
                </c:pt>
                <c:pt idx="8">
                  <c:v>昭和56年度</c:v>
                </c:pt>
                <c:pt idx="9">
                  <c:v>昭和57年度</c:v>
                </c:pt>
                <c:pt idx="10">
                  <c:v>昭和58年度</c:v>
                </c:pt>
                <c:pt idx="11">
                  <c:v>昭和59年度</c:v>
                </c:pt>
                <c:pt idx="12">
                  <c:v>昭和60年度</c:v>
                </c:pt>
                <c:pt idx="13">
                  <c:v>昭和61年度</c:v>
                </c:pt>
                <c:pt idx="14">
                  <c:v>昭和62年度</c:v>
                </c:pt>
                <c:pt idx="15">
                  <c:v>昭和63年度</c:v>
                </c:pt>
                <c:pt idx="16">
                  <c:v>平成元年度</c:v>
                </c:pt>
                <c:pt idx="17">
                  <c:v>平成2年度</c:v>
                </c:pt>
                <c:pt idx="18">
                  <c:v>平成3年度</c:v>
                </c:pt>
                <c:pt idx="19">
                  <c:v>平成4年度</c:v>
                </c:pt>
                <c:pt idx="20">
                  <c:v>平成5年度</c:v>
                </c:pt>
                <c:pt idx="21">
                  <c:v>平成6年度</c:v>
                </c:pt>
                <c:pt idx="22">
                  <c:v>平成7年度</c:v>
                </c:pt>
                <c:pt idx="23">
                  <c:v>平成8年度</c:v>
                </c:pt>
                <c:pt idx="24">
                  <c:v>平成9年度</c:v>
                </c:pt>
                <c:pt idx="25">
                  <c:v>平成10年度</c:v>
                </c:pt>
                <c:pt idx="26">
                  <c:v>平成11年度</c:v>
                </c:pt>
                <c:pt idx="27">
                  <c:v>平成12年度</c:v>
                </c:pt>
                <c:pt idx="28">
                  <c:v>平成13年度</c:v>
                </c:pt>
                <c:pt idx="29">
                  <c:v>平成14年度</c:v>
                </c:pt>
                <c:pt idx="30">
                  <c:v>平成15年度</c:v>
                </c:pt>
                <c:pt idx="31">
                  <c:v>平成16年度</c:v>
                </c:pt>
                <c:pt idx="32">
                  <c:v>平成17年度</c:v>
                </c:pt>
                <c:pt idx="33">
                  <c:v>平成18年度</c:v>
                </c:pt>
                <c:pt idx="34">
                  <c:v>平成19年度</c:v>
                </c:pt>
                <c:pt idx="35">
                  <c:v>平成20年度</c:v>
                </c:pt>
                <c:pt idx="36">
                  <c:v>平成21年度</c:v>
                </c:pt>
                <c:pt idx="37">
                  <c:v>平成22年度</c:v>
                </c:pt>
                <c:pt idx="38">
                  <c:v>平成23年度</c:v>
                </c:pt>
                <c:pt idx="39">
                  <c:v>平成24年度</c:v>
                </c:pt>
                <c:pt idx="40">
                  <c:v>平成25年度</c:v>
                </c:pt>
                <c:pt idx="41">
                  <c:v>平成26年度</c:v>
                </c:pt>
                <c:pt idx="42">
                  <c:v>平成27年度</c:v>
                </c:pt>
                <c:pt idx="43">
                  <c:v>平成28年度</c:v>
                </c:pt>
                <c:pt idx="44">
                  <c:v>平成29年度</c:v>
                </c:pt>
                <c:pt idx="45">
                  <c:v>平成30年度</c:v>
                </c:pt>
                <c:pt idx="46">
                  <c:v>令和元年度</c:v>
                </c:pt>
              </c:strCache>
            </c:strRef>
          </c:cat>
          <c:val>
            <c:numRef>
              <c:f>主要経営指標グラフ!$B$100:$AV$100</c:f>
              <c:numCache>
                <c:formatCode>#,##0_);[Red]\(#,##0\)</c:formatCode>
                <c:ptCount val="47"/>
                <c:pt idx="0">
                  <c:v>56467.805999999997</c:v>
                </c:pt>
                <c:pt idx="1">
                  <c:v>27852.749</c:v>
                </c:pt>
                <c:pt idx="2">
                  <c:v>38742.267</c:v>
                </c:pt>
                <c:pt idx="3">
                  <c:v>39729.896000000001</c:v>
                </c:pt>
                <c:pt idx="4">
                  <c:v>68839.789999999994</c:v>
                </c:pt>
                <c:pt idx="5">
                  <c:v>72944.270999999993</c:v>
                </c:pt>
                <c:pt idx="6">
                  <c:v>77292.929999999993</c:v>
                </c:pt>
                <c:pt idx="7">
                  <c:v>137603.03899999999</c:v>
                </c:pt>
                <c:pt idx="8">
                  <c:v>210117.43299999999</c:v>
                </c:pt>
                <c:pt idx="9">
                  <c:v>340906.41399999999</c:v>
                </c:pt>
                <c:pt idx="10">
                  <c:v>462114.15299999999</c:v>
                </c:pt>
                <c:pt idx="11">
                  <c:v>605317.99199999997</c:v>
                </c:pt>
                <c:pt idx="12">
                  <c:v>610811.44299999997</c:v>
                </c:pt>
                <c:pt idx="13">
                  <c:v>548117.78399999999</c:v>
                </c:pt>
                <c:pt idx="14">
                  <c:v>977261.80099999998</c:v>
                </c:pt>
                <c:pt idx="15">
                  <c:v>1148075.2930000001</c:v>
                </c:pt>
                <c:pt idx="16">
                  <c:v>1336722.0649999999</c:v>
                </c:pt>
                <c:pt idx="17">
                  <c:v>1574665.736</c:v>
                </c:pt>
                <c:pt idx="18">
                  <c:v>1909467.6950000001</c:v>
                </c:pt>
                <c:pt idx="19">
                  <c:v>2233860.9070000001</c:v>
                </c:pt>
                <c:pt idx="20">
                  <c:v>2564628.088</c:v>
                </c:pt>
                <c:pt idx="21">
                  <c:v>2932720.7820000001</c:v>
                </c:pt>
                <c:pt idx="22">
                  <c:v>3060330.824</c:v>
                </c:pt>
                <c:pt idx="23">
                  <c:v>3581582.216</c:v>
                </c:pt>
                <c:pt idx="24">
                  <c:v>4003922.3289999999</c:v>
                </c:pt>
                <c:pt idx="25">
                  <c:v>4102242.1379999998</c:v>
                </c:pt>
                <c:pt idx="26">
                  <c:v>4585975.33</c:v>
                </c:pt>
                <c:pt idx="27">
                  <c:v>5415534.2039999999</c:v>
                </c:pt>
                <c:pt idx="28">
                  <c:v>6058496.1009999998</c:v>
                </c:pt>
                <c:pt idx="29">
                  <c:v>6925468.0789999999</c:v>
                </c:pt>
                <c:pt idx="30">
                  <c:v>7566202.3099999996</c:v>
                </c:pt>
                <c:pt idx="31">
                  <c:v>7970472.8420000002</c:v>
                </c:pt>
                <c:pt idx="32">
                  <c:v>7839237.0829999996</c:v>
                </c:pt>
                <c:pt idx="33">
                  <c:v>7465974.6459999997</c:v>
                </c:pt>
                <c:pt idx="34">
                  <c:v>7115508.2400000002</c:v>
                </c:pt>
                <c:pt idx="35">
                  <c:v>6167948.4009999996</c:v>
                </c:pt>
                <c:pt idx="36">
                  <c:v>5334141.0259999996</c:v>
                </c:pt>
                <c:pt idx="37">
                  <c:v>4947628.2060000002</c:v>
                </c:pt>
                <c:pt idx="38">
                  <c:v>4557057.4919999996</c:v>
                </c:pt>
                <c:pt idx="39">
                  <c:v>4070098.4890000001</c:v>
                </c:pt>
                <c:pt idx="40">
                  <c:v>3495128.1549999998</c:v>
                </c:pt>
                <c:pt idx="41">
                  <c:v>3141588.0260000001</c:v>
                </c:pt>
                <c:pt idx="42">
                  <c:v>2815395.6869999999</c:v>
                </c:pt>
                <c:pt idx="43">
                  <c:v>2434952.6290000002</c:v>
                </c:pt>
                <c:pt idx="44">
                  <c:v>2190567</c:v>
                </c:pt>
                <c:pt idx="45">
                  <c:v>1985979</c:v>
                </c:pt>
                <c:pt idx="46">
                  <c:v>1864252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9-4BF6-8C7D-AF6793FE3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398080"/>
        <c:axId val="661391520"/>
      </c:barChart>
      <c:lineChart>
        <c:grouping val="standard"/>
        <c:varyColors val="0"/>
        <c:ser>
          <c:idx val="1"/>
          <c:order val="1"/>
          <c:tx>
            <c:strRef>
              <c:f>主要経営指標グラフ!$A$101</c:f>
              <c:strCache>
                <c:ptCount val="1"/>
                <c:pt idx="0">
                  <c:v>自己資本比率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主要経営指標グラフ!$B$99:$AV$99</c:f>
              <c:strCache>
                <c:ptCount val="47"/>
                <c:pt idx="0">
                  <c:v>昭和46年度</c:v>
                </c:pt>
                <c:pt idx="1">
                  <c:v>昭和49年度</c:v>
                </c:pt>
                <c:pt idx="2">
                  <c:v>昭和50年度</c:v>
                </c:pt>
                <c:pt idx="3">
                  <c:v>昭和51年度</c:v>
                </c:pt>
                <c:pt idx="4">
                  <c:v>昭和52年度</c:v>
                </c:pt>
                <c:pt idx="5">
                  <c:v>昭和53年度</c:v>
                </c:pt>
                <c:pt idx="6">
                  <c:v>昭和54年度</c:v>
                </c:pt>
                <c:pt idx="7">
                  <c:v>昭和55年度</c:v>
                </c:pt>
                <c:pt idx="8">
                  <c:v>昭和56年度</c:v>
                </c:pt>
                <c:pt idx="9">
                  <c:v>昭和57年度</c:v>
                </c:pt>
                <c:pt idx="10">
                  <c:v>昭和58年度</c:v>
                </c:pt>
                <c:pt idx="11">
                  <c:v>昭和59年度</c:v>
                </c:pt>
                <c:pt idx="12">
                  <c:v>昭和60年度</c:v>
                </c:pt>
                <c:pt idx="13">
                  <c:v>昭和61年度</c:v>
                </c:pt>
                <c:pt idx="14">
                  <c:v>昭和62年度</c:v>
                </c:pt>
                <c:pt idx="15">
                  <c:v>昭和63年度</c:v>
                </c:pt>
                <c:pt idx="16">
                  <c:v>平成元年度</c:v>
                </c:pt>
                <c:pt idx="17">
                  <c:v>平成2年度</c:v>
                </c:pt>
                <c:pt idx="18">
                  <c:v>平成3年度</c:v>
                </c:pt>
                <c:pt idx="19">
                  <c:v>平成4年度</c:v>
                </c:pt>
                <c:pt idx="20">
                  <c:v>平成5年度</c:v>
                </c:pt>
                <c:pt idx="21">
                  <c:v>平成6年度</c:v>
                </c:pt>
                <c:pt idx="22">
                  <c:v>平成7年度</c:v>
                </c:pt>
                <c:pt idx="23">
                  <c:v>平成8年度</c:v>
                </c:pt>
                <c:pt idx="24">
                  <c:v>平成9年度</c:v>
                </c:pt>
                <c:pt idx="25">
                  <c:v>平成10年度</c:v>
                </c:pt>
                <c:pt idx="26">
                  <c:v>平成11年度</c:v>
                </c:pt>
                <c:pt idx="27">
                  <c:v>平成12年度</c:v>
                </c:pt>
                <c:pt idx="28">
                  <c:v>平成13年度</c:v>
                </c:pt>
                <c:pt idx="29">
                  <c:v>平成14年度</c:v>
                </c:pt>
                <c:pt idx="30">
                  <c:v>平成15年度</c:v>
                </c:pt>
                <c:pt idx="31">
                  <c:v>平成16年度</c:v>
                </c:pt>
                <c:pt idx="32">
                  <c:v>平成17年度</c:v>
                </c:pt>
                <c:pt idx="33">
                  <c:v>平成18年度</c:v>
                </c:pt>
                <c:pt idx="34">
                  <c:v>平成19年度</c:v>
                </c:pt>
                <c:pt idx="35">
                  <c:v>平成20年度</c:v>
                </c:pt>
                <c:pt idx="36">
                  <c:v>平成21年度</c:v>
                </c:pt>
                <c:pt idx="37">
                  <c:v>平成22年度</c:v>
                </c:pt>
                <c:pt idx="38">
                  <c:v>平成23年度</c:v>
                </c:pt>
                <c:pt idx="39">
                  <c:v>平成24年度</c:v>
                </c:pt>
                <c:pt idx="40">
                  <c:v>平成25年度</c:v>
                </c:pt>
                <c:pt idx="41">
                  <c:v>平成26年度</c:v>
                </c:pt>
                <c:pt idx="42">
                  <c:v>平成27年度</c:v>
                </c:pt>
                <c:pt idx="43">
                  <c:v>平成28年度</c:v>
                </c:pt>
                <c:pt idx="44">
                  <c:v>平成29年度</c:v>
                </c:pt>
                <c:pt idx="45">
                  <c:v>平成30年度</c:v>
                </c:pt>
                <c:pt idx="46">
                  <c:v>令和元年度</c:v>
                </c:pt>
              </c:strCache>
            </c:strRef>
          </c:cat>
          <c:val>
            <c:numRef>
              <c:f>主要経営指標グラフ!$B$101:$AV$101</c:f>
              <c:numCache>
                <c:formatCode>#,##0.0;[Red]\-#,##0.0</c:formatCode>
                <c:ptCount val="47"/>
                <c:pt idx="0">
                  <c:v>1.6423906515974722</c:v>
                </c:pt>
                <c:pt idx="1">
                  <c:v>-0.69009609139072092</c:v>
                </c:pt>
                <c:pt idx="2">
                  <c:v>-2.47875057860829</c:v>
                </c:pt>
                <c:pt idx="3">
                  <c:v>1.8998053092979483</c:v>
                </c:pt>
                <c:pt idx="4">
                  <c:v>1.7276261917304327</c:v>
                </c:pt>
                <c:pt idx="5">
                  <c:v>3.6060776826917369</c:v>
                </c:pt>
                <c:pt idx="6">
                  <c:v>5.4911259487093638</c:v>
                </c:pt>
                <c:pt idx="7">
                  <c:v>2.127885764927897</c:v>
                </c:pt>
                <c:pt idx="8">
                  <c:v>3.5215063674953222</c:v>
                </c:pt>
                <c:pt idx="9">
                  <c:v>2.527297390027754</c:v>
                </c:pt>
                <c:pt idx="10">
                  <c:v>3.5481765741487452</c:v>
                </c:pt>
                <c:pt idx="11">
                  <c:v>3.4756766446780172</c:v>
                </c:pt>
                <c:pt idx="12">
                  <c:v>3.9071199160846297</c:v>
                </c:pt>
                <c:pt idx="13">
                  <c:v>4.631879849594692</c:v>
                </c:pt>
                <c:pt idx="14">
                  <c:v>10.760971516065418</c:v>
                </c:pt>
                <c:pt idx="15">
                  <c:v>10.651675285661275</c:v>
                </c:pt>
                <c:pt idx="16">
                  <c:v>9.9466871164498212</c:v>
                </c:pt>
                <c:pt idx="17">
                  <c:v>9.5699724068415382</c:v>
                </c:pt>
                <c:pt idx="18">
                  <c:v>8.9949443889229439</c:v>
                </c:pt>
                <c:pt idx="19">
                  <c:v>9.4629724680154936</c:v>
                </c:pt>
                <c:pt idx="20">
                  <c:v>10.470933525864904</c:v>
                </c:pt>
                <c:pt idx="21">
                  <c:v>10.356010444100971</c:v>
                </c:pt>
                <c:pt idx="22">
                  <c:v>11.989837977307099</c:v>
                </c:pt>
                <c:pt idx="23">
                  <c:v>12.230423565400599</c:v>
                </c:pt>
                <c:pt idx="24">
                  <c:v>12.891276838115267</c:v>
                </c:pt>
                <c:pt idx="25">
                  <c:v>14.445632522940233</c:v>
                </c:pt>
                <c:pt idx="26">
                  <c:v>14.923067332847262</c:v>
                </c:pt>
                <c:pt idx="27">
                  <c:v>14.537754826772831</c:v>
                </c:pt>
                <c:pt idx="28">
                  <c:v>14.711266296911871</c:v>
                </c:pt>
                <c:pt idx="29">
                  <c:v>15.891748520775733</c:v>
                </c:pt>
                <c:pt idx="30">
                  <c:v>17.174933403471851</c:v>
                </c:pt>
                <c:pt idx="31">
                  <c:v>17.81015398989959</c:v>
                </c:pt>
                <c:pt idx="32">
                  <c:v>18.636261092237376</c:v>
                </c:pt>
                <c:pt idx="33">
                  <c:v>20.918813293609784</c:v>
                </c:pt>
                <c:pt idx="34">
                  <c:v>22.049870819760802</c:v>
                </c:pt>
                <c:pt idx="35">
                  <c:v>23.332878576590762</c:v>
                </c:pt>
                <c:pt idx="36">
                  <c:v>24.644482511228532</c:v>
                </c:pt>
                <c:pt idx="37">
                  <c:v>22.979808441195903</c:v>
                </c:pt>
                <c:pt idx="38">
                  <c:v>27.868694313667774</c:v>
                </c:pt>
                <c:pt idx="39">
                  <c:v>35.299999999999997</c:v>
                </c:pt>
                <c:pt idx="40">
                  <c:v>34.6852403924253</c:v>
                </c:pt>
                <c:pt idx="41">
                  <c:v>37.872410471860661</c:v>
                </c:pt>
                <c:pt idx="42">
                  <c:v>43.898048008083762</c:v>
                </c:pt>
                <c:pt idx="43">
                  <c:v>47.100037936282014</c:v>
                </c:pt>
                <c:pt idx="44">
                  <c:v>51.686448465391123</c:v>
                </c:pt>
                <c:pt idx="45">
                  <c:v>56.63142167724294</c:v>
                </c:pt>
                <c:pt idx="46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99-4BF6-8C7D-AF6793FE3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396440"/>
        <c:axId val="661394800"/>
      </c:lineChart>
      <c:catAx>
        <c:axId val="6613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391520"/>
        <c:crosses val="autoZero"/>
        <c:auto val="1"/>
        <c:lblAlgn val="ctr"/>
        <c:lblOffset val="100"/>
        <c:noMultiLvlLbl val="0"/>
      </c:catAx>
      <c:valAx>
        <c:axId val="66139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398080"/>
        <c:crosses val="autoZero"/>
        <c:crossBetween val="between"/>
      </c:valAx>
      <c:valAx>
        <c:axId val="661394800"/>
        <c:scaling>
          <c:orientation val="minMax"/>
        </c:scaling>
        <c:delete val="0"/>
        <c:axPos val="r"/>
        <c:numFmt formatCode="#,##0.0;[Red]\-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396440"/>
        <c:crosses val="max"/>
        <c:crossBetween val="between"/>
      </c:valAx>
      <c:catAx>
        <c:axId val="661396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1394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年収別　相談件数割合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[3]編集!$A$35</c:f>
              <c:strCache>
                <c:ptCount val="1"/>
                <c:pt idx="0">
                  <c:v>1～200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[3]編集!$B$34:$AE$34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[3]編集!$B$35:$AE$35</c:f>
              <c:numCache>
                <c:formatCode>General</c:formatCode>
                <c:ptCount val="30"/>
                <c:pt idx="0">
                  <c:v>272</c:v>
                </c:pt>
                <c:pt idx="1">
                  <c:v>294</c:v>
                </c:pt>
                <c:pt idx="2">
                  <c:v>341</c:v>
                </c:pt>
                <c:pt idx="3">
                  <c:v>269</c:v>
                </c:pt>
                <c:pt idx="4">
                  <c:v>333</c:v>
                </c:pt>
                <c:pt idx="5">
                  <c:v>332</c:v>
                </c:pt>
                <c:pt idx="6">
                  <c:v>434</c:v>
                </c:pt>
                <c:pt idx="7">
                  <c:v>392</c:v>
                </c:pt>
                <c:pt idx="8">
                  <c:v>432</c:v>
                </c:pt>
                <c:pt idx="9">
                  <c:v>568</c:v>
                </c:pt>
                <c:pt idx="10">
                  <c:v>1041</c:v>
                </c:pt>
                <c:pt idx="11">
                  <c:v>1599</c:v>
                </c:pt>
                <c:pt idx="12">
                  <c:v>1957</c:v>
                </c:pt>
                <c:pt idx="13">
                  <c:v>1871</c:v>
                </c:pt>
                <c:pt idx="14">
                  <c:v>1893</c:v>
                </c:pt>
                <c:pt idx="15">
                  <c:v>0</c:v>
                </c:pt>
                <c:pt idx="16">
                  <c:v>1903</c:v>
                </c:pt>
                <c:pt idx="17">
                  <c:v>1856</c:v>
                </c:pt>
                <c:pt idx="18">
                  <c:v>1526</c:v>
                </c:pt>
                <c:pt idx="19">
                  <c:v>1269</c:v>
                </c:pt>
                <c:pt idx="20">
                  <c:v>1876</c:v>
                </c:pt>
                <c:pt idx="21">
                  <c:v>1639</c:v>
                </c:pt>
                <c:pt idx="22">
                  <c:v>1277</c:v>
                </c:pt>
                <c:pt idx="23">
                  <c:v>1051</c:v>
                </c:pt>
                <c:pt idx="24">
                  <c:v>933</c:v>
                </c:pt>
                <c:pt idx="25">
                  <c:v>874</c:v>
                </c:pt>
                <c:pt idx="26">
                  <c:v>810</c:v>
                </c:pt>
                <c:pt idx="27">
                  <c:v>741</c:v>
                </c:pt>
                <c:pt idx="28">
                  <c:v>681</c:v>
                </c:pt>
                <c:pt idx="2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B-480B-B1AC-AB42AA013F81}"/>
            </c:ext>
          </c:extLst>
        </c:ser>
        <c:ser>
          <c:idx val="1"/>
          <c:order val="1"/>
          <c:tx>
            <c:strRef>
              <c:f>[3]編集!$A$36</c:f>
              <c:strCache>
                <c:ptCount val="1"/>
                <c:pt idx="0">
                  <c:v>201～250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[3]編集!$B$34:$AE$34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[3]編集!$B$36:$AE$36</c:f>
              <c:numCache>
                <c:formatCode>General</c:formatCode>
                <c:ptCount val="30"/>
                <c:pt idx="0">
                  <c:v>168</c:v>
                </c:pt>
                <c:pt idx="1">
                  <c:v>162</c:v>
                </c:pt>
                <c:pt idx="2">
                  <c:v>143</c:v>
                </c:pt>
                <c:pt idx="3">
                  <c:v>141</c:v>
                </c:pt>
                <c:pt idx="4">
                  <c:v>146</c:v>
                </c:pt>
                <c:pt idx="5">
                  <c:v>211</c:v>
                </c:pt>
                <c:pt idx="6">
                  <c:v>199</c:v>
                </c:pt>
                <c:pt idx="7">
                  <c:v>218</c:v>
                </c:pt>
                <c:pt idx="8">
                  <c:v>263</c:v>
                </c:pt>
                <c:pt idx="9">
                  <c:v>290</c:v>
                </c:pt>
                <c:pt idx="10">
                  <c:v>507</c:v>
                </c:pt>
                <c:pt idx="11">
                  <c:v>543</c:v>
                </c:pt>
                <c:pt idx="12">
                  <c:v>655</c:v>
                </c:pt>
                <c:pt idx="13">
                  <c:v>704</c:v>
                </c:pt>
                <c:pt idx="14">
                  <c:v>658</c:v>
                </c:pt>
                <c:pt idx="15">
                  <c:v>0</c:v>
                </c:pt>
                <c:pt idx="16">
                  <c:v>679</c:v>
                </c:pt>
                <c:pt idx="17">
                  <c:v>669</c:v>
                </c:pt>
                <c:pt idx="18">
                  <c:v>551</c:v>
                </c:pt>
                <c:pt idx="19">
                  <c:v>401</c:v>
                </c:pt>
                <c:pt idx="20">
                  <c:v>594</c:v>
                </c:pt>
                <c:pt idx="21">
                  <c:v>494</c:v>
                </c:pt>
                <c:pt idx="22">
                  <c:v>463</c:v>
                </c:pt>
                <c:pt idx="23">
                  <c:v>381</c:v>
                </c:pt>
                <c:pt idx="24">
                  <c:v>354</c:v>
                </c:pt>
                <c:pt idx="25">
                  <c:v>307</c:v>
                </c:pt>
                <c:pt idx="26">
                  <c:v>306</c:v>
                </c:pt>
                <c:pt idx="27">
                  <c:v>278</c:v>
                </c:pt>
                <c:pt idx="28">
                  <c:v>276</c:v>
                </c:pt>
                <c:pt idx="29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0B-480B-B1AC-AB42AA013F81}"/>
            </c:ext>
          </c:extLst>
        </c:ser>
        <c:ser>
          <c:idx val="2"/>
          <c:order val="2"/>
          <c:tx>
            <c:strRef>
              <c:f>[3]編集!$A$37</c:f>
              <c:strCache>
                <c:ptCount val="1"/>
                <c:pt idx="0">
                  <c:v>251～300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[3]編集!$B$34:$AE$34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[3]編集!$B$37:$AE$37</c:f>
              <c:numCache>
                <c:formatCode>General</c:formatCode>
                <c:ptCount val="30"/>
                <c:pt idx="0">
                  <c:v>149</c:v>
                </c:pt>
                <c:pt idx="1">
                  <c:v>181</c:v>
                </c:pt>
                <c:pt idx="2">
                  <c:v>200</c:v>
                </c:pt>
                <c:pt idx="3">
                  <c:v>213</c:v>
                </c:pt>
                <c:pt idx="4">
                  <c:v>237</c:v>
                </c:pt>
                <c:pt idx="5">
                  <c:v>302</c:v>
                </c:pt>
                <c:pt idx="6">
                  <c:v>296</c:v>
                </c:pt>
                <c:pt idx="7">
                  <c:v>272</c:v>
                </c:pt>
                <c:pt idx="8">
                  <c:v>300</c:v>
                </c:pt>
                <c:pt idx="9">
                  <c:v>353</c:v>
                </c:pt>
                <c:pt idx="10">
                  <c:v>459</c:v>
                </c:pt>
                <c:pt idx="11">
                  <c:v>553</c:v>
                </c:pt>
                <c:pt idx="12">
                  <c:v>605</c:v>
                </c:pt>
                <c:pt idx="13">
                  <c:v>592</c:v>
                </c:pt>
                <c:pt idx="14">
                  <c:v>585</c:v>
                </c:pt>
                <c:pt idx="15">
                  <c:v>0</c:v>
                </c:pt>
                <c:pt idx="16">
                  <c:v>700</c:v>
                </c:pt>
                <c:pt idx="17">
                  <c:v>647</c:v>
                </c:pt>
                <c:pt idx="18">
                  <c:v>479</c:v>
                </c:pt>
                <c:pt idx="19">
                  <c:v>374</c:v>
                </c:pt>
                <c:pt idx="20">
                  <c:v>473</c:v>
                </c:pt>
                <c:pt idx="21">
                  <c:v>460</c:v>
                </c:pt>
                <c:pt idx="22">
                  <c:v>408</c:v>
                </c:pt>
                <c:pt idx="23">
                  <c:v>322</c:v>
                </c:pt>
                <c:pt idx="24">
                  <c:v>295</c:v>
                </c:pt>
                <c:pt idx="25">
                  <c:v>306</c:v>
                </c:pt>
                <c:pt idx="26">
                  <c:v>250</c:v>
                </c:pt>
                <c:pt idx="27">
                  <c:v>245</c:v>
                </c:pt>
                <c:pt idx="28">
                  <c:v>241</c:v>
                </c:pt>
                <c:pt idx="29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0B-480B-B1AC-AB42AA013F81}"/>
            </c:ext>
          </c:extLst>
        </c:ser>
        <c:ser>
          <c:idx val="3"/>
          <c:order val="3"/>
          <c:tx>
            <c:strRef>
              <c:f>[3]編集!$A$38</c:f>
              <c:strCache>
                <c:ptCount val="1"/>
                <c:pt idx="0">
                  <c:v>301～350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[3]編集!$B$34:$AE$34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[3]編集!$B$38:$AE$38</c:f>
              <c:numCache>
                <c:formatCode>General</c:formatCode>
                <c:ptCount val="30"/>
                <c:pt idx="0">
                  <c:v>79</c:v>
                </c:pt>
                <c:pt idx="1">
                  <c:v>75</c:v>
                </c:pt>
                <c:pt idx="2">
                  <c:v>117</c:v>
                </c:pt>
                <c:pt idx="3">
                  <c:v>117</c:v>
                </c:pt>
                <c:pt idx="4">
                  <c:v>150</c:v>
                </c:pt>
                <c:pt idx="5">
                  <c:v>197</c:v>
                </c:pt>
                <c:pt idx="6">
                  <c:v>173</c:v>
                </c:pt>
                <c:pt idx="7">
                  <c:v>186</c:v>
                </c:pt>
                <c:pt idx="8">
                  <c:v>171</c:v>
                </c:pt>
                <c:pt idx="9">
                  <c:v>247</c:v>
                </c:pt>
                <c:pt idx="10">
                  <c:v>308</c:v>
                </c:pt>
                <c:pt idx="11">
                  <c:v>335</c:v>
                </c:pt>
                <c:pt idx="12">
                  <c:v>352</c:v>
                </c:pt>
                <c:pt idx="13">
                  <c:v>327</c:v>
                </c:pt>
                <c:pt idx="14">
                  <c:v>298</c:v>
                </c:pt>
                <c:pt idx="15">
                  <c:v>0</c:v>
                </c:pt>
                <c:pt idx="16">
                  <c:v>316</c:v>
                </c:pt>
                <c:pt idx="17">
                  <c:v>324</c:v>
                </c:pt>
                <c:pt idx="18">
                  <c:v>223</c:v>
                </c:pt>
                <c:pt idx="19">
                  <c:v>187</c:v>
                </c:pt>
                <c:pt idx="20">
                  <c:v>224</c:v>
                </c:pt>
                <c:pt idx="21">
                  <c:v>217</c:v>
                </c:pt>
                <c:pt idx="22">
                  <c:v>206</c:v>
                </c:pt>
                <c:pt idx="23">
                  <c:v>151</c:v>
                </c:pt>
                <c:pt idx="24">
                  <c:v>125</c:v>
                </c:pt>
                <c:pt idx="25">
                  <c:v>137</c:v>
                </c:pt>
                <c:pt idx="26">
                  <c:v>127</c:v>
                </c:pt>
                <c:pt idx="27">
                  <c:v>159</c:v>
                </c:pt>
                <c:pt idx="28">
                  <c:v>123</c:v>
                </c:pt>
                <c:pt idx="29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0B-480B-B1AC-AB42AA013F81}"/>
            </c:ext>
          </c:extLst>
        </c:ser>
        <c:ser>
          <c:idx val="4"/>
          <c:order val="4"/>
          <c:tx>
            <c:strRef>
              <c:f>[3]編集!$A$39</c:f>
              <c:strCache>
                <c:ptCount val="1"/>
                <c:pt idx="0">
                  <c:v>351～400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[3]編集!$B$34:$AE$34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[3]編集!$B$39:$AE$39</c:f>
              <c:numCache>
                <c:formatCode>General</c:formatCode>
                <c:ptCount val="30"/>
                <c:pt idx="0">
                  <c:v>82</c:v>
                </c:pt>
                <c:pt idx="1">
                  <c:v>117</c:v>
                </c:pt>
                <c:pt idx="2">
                  <c:v>141</c:v>
                </c:pt>
                <c:pt idx="3">
                  <c:v>118</c:v>
                </c:pt>
                <c:pt idx="4">
                  <c:v>140</c:v>
                </c:pt>
                <c:pt idx="5">
                  <c:v>217</c:v>
                </c:pt>
                <c:pt idx="6">
                  <c:v>178</c:v>
                </c:pt>
                <c:pt idx="7">
                  <c:v>200</c:v>
                </c:pt>
                <c:pt idx="8">
                  <c:v>208</c:v>
                </c:pt>
                <c:pt idx="9">
                  <c:v>202</c:v>
                </c:pt>
                <c:pt idx="10">
                  <c:v>257</c:v>
                </c:pt>
                <c:pt idx="11">
                  <c:v>314</c:v>
                </c:pt>
                <c:pt idx="12">
                  <c:v>312</c:v>
                </c:pt>
                <c:pt idx="13">
                  <c:v>332</c:v>
                </c:pt>
                <c:pt idx="14">
                  <c:v>304</c:v>
                </c:pt>
                <c:pt idx="15">
                  <c:v>0</c:v>
                </c:pt>
                <c:pt idx="16">
                  <c:v>316</c:v>
                </c:pt>
                <c:pt idx="17">
                  <c:v>321</c:v>
                </c:pt>
                <c:pt idx="18">
                  <c:v>246</c:v>
                </c:pt>
                <c:pt idx="19">
                  <c:v>176</c:v>
                </c:pt>
                <c:pt idx="20">
                  <c:v>228</c:v>
                </c:pt>
                <c:pt idx="21">
                  <c:v>202</c:v>
                </c:pt>
                <c:pt idx="22">
                  <c:v>162</c:v>
                </c:pt>
                <c:pt idx="23">
                  <c:v>164</c:v>
                </c:pt>
                <c:pt idx="24">
                  <c:v>123</c:v>
                </c:pt>
                <c:pt idx="25">
                  <c:v>128</c:v>
                </c:pt>
                <c:pt idx="26">
                  <c:v>115</c:v>
                </c:pt>
                <c:pt idx="27">
                  <c:v>153</c:v>
                </c:pt>
                <c:pt idx="28">
                  <c:v>115</c:v>
                </c:pt>
                <c:pt idx="29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0B-480B-B1AC-AB42AA013F81}"/>
            </c:ext>
          </c:extLst>
        </c:ser>
        <c:ser>
          <c:idx val="5"/>
          <c:order val="5"/>
          <c:tx>
            <c:strRef>
              <c:f>[3]編集!$A$40</c:f>
              <c:strCache>
                <c:ptCount val="1"/>
                <c:pt idx="0">
                  <c:v>401～450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[3]編集!$B$34:$AE$34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[3]編集!$B$40:$AE$40</c:f>
              <c:numCache>
                <c:formatCode>General</c:formatCode>
                <c:ptCount val="30"/>
                <c:pt idx="0">
                  <c:v>29</c:v>
                </c:pt>
                <c:pt idx="1">
                  <c:v>53</c:v>
                </c:pt>
                <c:pt idx="2">
                  <c:v>53</c:v>
                </c:pt>
                <c:pt idx="3">
                  <c:v>70</c:v>
                </c:pt>
                <c:pt idx="4">
                  <c:v>58</c:v>
                </c:pt>
                <c:pt idx="5">
                  <c:v>105</c:v>
                </c:pt>
                <c:pt idx="6">
                  <c:v>94</c:v>
                </c:pt>
                <c:pt idx="7">
                  <c:v>96</c:v>
                </c:pt>
                <c:pt idx="8">
                  <c:v>103</c:v>
                </c:pt>
                <c:pt idx="9">
                  <c:v>106</c:v>
                </c:pt>
                <c:pt idx="10">
                  <c:v>158</c:v>
                </c:pt>
                <c:pt idx="11">
                  <c:v>192</c:v>
                </c:pt>
                <c:pt idx="12">
                  <c:v>170</c:v>
                </c:pt>
                <c:pt idx="13">
                  <c:v>166</c:v>
                </c:pt>
                <c:pt idx="14">
                  <c:v>139</c:v>
                </c:pt>
                <c:pt idx="15">
                  <c:v>0</c:v>
                </c:pt>
                <c:pt idx="16">
                  <c:v>147</c:v>
                </c:pt>
                <c:pt idx="17">
                  <c:v>144</c:v>
                </c:pt>
                <c:pt idx="18">
                  <c:v>121</c:v>
                </c:pt>
                <c:pt idx="19">
                  <c:v>84</c:v>
                </c:pt>
                <c:pt idx="20">
                  <c:v>121</c:v>
                </c:pt>
                <c:pt idx="21">
                  <c:v>96</c:v>
                </c:pt>
                <c:pt idx="22">
                  <c:v>90</c:v>
                </c:pt>
                <c:pt idx="23">
                  <c:v>68</c:v>
                </c:pt>
                <c:pt idx="24">
                  <c:v>56</c:v>
                </c:pt>
                <c:pt idx="25">
                  <c:v>65</c:v>
                </c:pt>
                <c:pt idx="26">
                  <c:v>66</c:v>
                </c:pt>
                <c:pt idx="27">
                  <c:v>60</c:v>
                </c:pt>
                <c:pt idx="28">
                  <c:v>55</c:v>
                </c:pt>
                <c:pt idx="29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0B-480B-B1AC-AB42AA013F81}"/>
            </c:ext>
          </c:extLst>
        </c:ser>
        <c:ser>
          <c:idx val="6"/>
          <c:order val="6"/>
          <c:tx>
            <c:strRef>
              <c:f>[3]編集!$A$41</c:f>
              <c:strCache>
                <c:ptCount val="1"/>
                <c:pt idx="0">
                  <c:v>451～500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[3]編集!$B$34:$AE$34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[3]編集!$B$41:$AE$41</c:f>
              <c:numCache>
                <c:formatCode>General</c:formatCode>
                <c:ptCount val="30"/>
                <c:pt idx="0">
                  <c:v>24</c:v>
                </c:pt>
                <c:pt idx="1">
                  <c:v>44</c:v>
                </c:pt>
                <c:pt idx="2">
                  <c:v>63</c:v>
                </c:pt>
                <c:pt idx="3">
                  <c:v>45</c:v>
                </c:pt>
                <c:pt idx="4">
                  <c:v>74</c:v>
                </c:pt>
                <c:pt idx="5">
                  <c:v>97</c:v>
                </c:pt>
                <c:pt idx="6">
                  <c:v>96</c:v>
                </c:pt>
                <c:pt idx="7">
                  <c:v>95</c:v>
                </c:pt>
                <c:pt idx="8">
                  <c:v>71</c:v>
                </c:pt>
                <c:pt idx="9">
                  <c:v>96</c:v>
                </c:pt>
                <c:pt idx="10">
                  <c:v>121</c:v>
                </c:pt>
                <c:pt idx="11">
                  <c:v>153</c:v>
                </c:pt>
                <c:pt idx="12">
                  <c:v>148</c:v>
                </c:pt>
                <c:pt idx="13">
                  <c:v>133</c:v>
                </c:pt>
                <c:pt idx="14">
                  <c:v>136</c:v>
                </c:pt>
                <c:pt idx="15">
                  <c:v>0</c:v>
                </c:pt>
                <c:pt idx="16">
                  <c:v>139</c:v>
                </c:pt>
                <c:pt idx="17">
                  <c:v>136</c:v>
                </c:pt>
                <c:pt idx="18">
                  <c:v>128</c:v>
                </c:pt>
                <c:pt idx="19">
                  <c:v>77</c:v>
                </c:pt>
                <c:pt idx="20">
                  <c:v>100</c:v>
                </c:pt>
                <c:pt idx="21">
                  <c:v>69</c:v>
                </c:pt>
                <c:pt idx="22">
                  <c:v>79</c:v>
                </c:pt>
                <c:pt idx="23">
                  <c:v>45</c:v>
                </c:pt>
                <c:pt idx="24">
                  <c:v>52</c:v>
                </c:pt>
                <c:pt idx="25">
                  <c:v>63</c:v>
                </c:pt>
                <c:pt idx="26">
                  <c:v>58</c:v>
                </c:pt>
                <c:pt idx="27">
                  <c:v>45</c:v>
                </c:pt>
                <c:pt idx="28">
                  <c:v>57</c:v>
                </c:pt>
                <c:pt idx="29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0B-480B-B1AC-AB42AA013F81}"/>
            </c:ext>
          </c:extLst>
        </c:ser>
        <c:ser>
          <c:idx val="7"/>
          <c:order val="7"/>
          <c:tx>
            <c:strRef>
              <c:f>[3]編集!$A$42</c:f>
              <c:strCache>
                <c:ptCount val="1"/>
                <c:pt idx="0">
                  <c:v>501～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[3]編集!$B$34:$AE$34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[3]編集!$B$42:$AE$42</c:f>
              <c:numCache>
                <c:formatCode>General</c:formatCode>
                <c:ptCount val="30"/>
                <c:pt idx="0">
                  <c:v>59</c:v>
                </c:pt>
                <c:pt idx="1">
                  <c:v>118</c:v>
                </c:pt>
                <c:pt idx="2">
                  <c:v>90</c:v>
                </c:pt>
                <c:pt idx="3">
                  <c:v>113</c:v>
                </c:pt>
                <c:pt idx="4">
                  <c:v>113</c:v>
                </c:pt>
                <c:pt idx="5">
                  <c:v>199</c:v>
                </c:pt>
                <c:pt idx="6">
                  <c:v>177</c:v>
                </c:pt>
                <c:pt idx="7">
                  <c:v>172</c:v>
                </c:pt>
                <c:pt idx="8">
                  <c:v>185</c:v>
                </c:pt>
                <c:pt idx="9">
                  <c:v>183</c:v>
                </c:pt>
                <c:pt idx="10">
                  <c:v>254</c:v>
                </c:pt>
                <c:pt idx="11">
                  <c:v>309</c:v>
                </c:pt>
                <c:pt idx="12">
                  <c:v>245</c:v>
                </c:pt>
                <c:pt idx="13">
                  <c:v>295</c:v>
                </c:pt>
                <c:pt idx="14">
                  <c:v>253</c:v>
                </c:pt>
                <c:pt idx="15">
                  <c:v>0</c:v>
                </c:pt>
                <c:pt idx="16">
                  <c:v>257</c:v>
                </c:pt>
                <c:pt idx="17">
                  <c:v>313</c:v>
                </c:pt>
                <c:pt idx="18">
                  <c:v>204</c:v>
                </c:pt>
                <c:pt idx="19">
                  <c:v>164</c:v>
                </c:pt>
                <c:pt idx="20">
                  <c:v>188</c:v>
                </c:pt>
                <c:pt idx="21">
                  <c:v>161</c:v>
                </c:pt>
                <c:pt idx="22">
                  <c:v>142</c:v>
                </c:pt>
                <c:pt idx="23">
                  <c:v>98</c:v>
                </c:pt>
                <c:pt idx="24">
                  <c:v>91</c:v>
                </c:pt>
                <c:pt idx="25">
                  <c:v>105</c:v>
                </c:pt>
                <c:pt idx="26">
                  <c:v>72</c:v>
                </c:pt>
                <c:pt idx="27">
                  <c:v>91</c:v>
                </c:pt>
                <c:pt idx="28">
                  <c:v>100</c:v>
                </c:pt>
                <c:pt idx="29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0B-480B-B1AC-AB42AA013F81}"/>
            </c:ext>
          </c:extLst>
        </c:ser>
        <c:ser>
          <c:idx val="8"/>
          <c:order val="8"/>
          <c:tx>
            <c:strRef>
              <c:f>[3]編集!$A$43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[3]編集!$B$34:$AE$34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[3]編集!$B$43:$AE$43</c:f>
              <c:numCache>
                <c:formatCode>General</c:formatCode>
                <c:ptCount val="30"/>
                <c:pt idx="0">
                  <c:v>89</c:v>
                </c:pt>
                <c:pt idx="1">
                  <c:v>72</c:v>
                </c:pt>
                <c:pt idx="2">
                  <c:v>161</c:v>
                </c:pt>
                <c:pt idx="3">
                  <c:v>211</c:v>
                </c:pt>
                <c:pt idx="4">
                  <c:v>262</c:v>
                </c:pt>
                <c:pt idx="5">
                  <c:v>494</c:v>
                </c:pt>
                <c:pt idx="6">
                  <c:v>201</c:v>
                </c:pt>
                <c:pt idx="7">
                  <c:v>280</c:v>
                </c:pt>
                <c:pt idx="8">
                  <c:v>389</c:v>
                </c:pt>
                <c:pt idx="9">
                  <c:v>397</c:v>
                </c:pt>
                <c:pt idx="10">
                  <c:v>653</c:v>
                </c:pt>
                <c:pt idx="11">
                  <c:v>669</c:v>
                </c:pt>
                <c:pt idx="12">
                  <c:v>262</c:v>
                </c:pt>
                <c:pt idx="13">
                  <c:v>652</c:v>
                </c:pt>
                <c:pt idx="14">
                  <c:v>754</c:v>
                </c:pt>
                <c:pt idx="15">
                  <c:v>0</c:v>
                </c:pt>
                <c:pt idx="16">
                  <c:v>675</c:v>
                </c:pt>
                <c:pt idx="17">
                  <c:v>628</c:v>
                </c:pt>
                <c:pt idx="18">
                  <c:v>620</c:v>
                </c:pt>
                <c:pt idx="19">
                  <c:v>509</c:v>
                </c:pt>
                <c:pt idx="20">
                  <c:v>661</c:v>
                </c:pt>
                <c:pt idx="21">
                  <c:v>451</c:v>
                </c:pt>
                <c:pt idx="22">
                  <c:v>264</c:v>
                </c:pt>
                <c:pt idx="23">
                  <c:v>228</c:v>
                </c:pt>
                <c:pt idx="24">
                  <c:v>159</c:v>
                </c:pt>
                <c:pt idx="25">
                  <c:v>176</c:v>
                </c:pt>
                <c:pt idx="26">
                  <c:v>193</c:v>
                </c:pt>
                <c:pt idx="27">
                  <c:v>164</c:v>
                </c:pt>
                <c:pt idx="28">
                  <c:v>157</c:v>
                </c:pt>
                <c:pt idx="29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40B-480B-B1AC-AB42AA013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9661144"/>
        <c:axId val="549661472"/>
      </c:barChart>
      <c:catAx>
        <c:axId val="54966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9661472"/>
        <c:crosses val="autoZero"/>
        <c:auto val="1"/>
        <c:lblAlgn val="ctr"/>
        <c:lblOffset val="100"/>
        <c:noMultiLvlLbl val="0"/>
      </c:catAx>
      <c:valAx>
        <c:axId val="54966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9661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[1]図１・２!$Z$29</c:f>
              <c:strCache>
                <c:ptCount val="1"/>
                <c:pt idx="0">
                  <c:v>償却率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[1]図１・２!$AA$28:$AM$28</c:f>
              <c:strCache>
                <c:ptCount val="13"/>
                <c:pt idx="0">
                  <c:v>2006年</c:v>
                </c:pt>
                <c:pt idx="1">
                  <c:v>2007年</c:v>
                </c:pt>
                <c:pt idx="2">
                  <c:v>2008年</c:v>
                </c:pt>
                <c:pt idx="3">
                  <c:v>2009年</c:v>
                </c:pt>
                <c:pt idx="4">
                  <c:v>2010年</c:v>
                </c:pt>
                <c:pt idx="5">
                  <c:v>2011年</c:v>
                </c:pt>
                <c:pt idx="6">
                  <c:v>2012年</c:v>
                </c:pt>
                <c:pt idx="7">
                  <c:v>2013年</c:v>
                </c:pt>
                <c:pt idx="8">
                  <c:v>2014年</c:v>
                </c:pt>
                <c:pt idx="9">
                  <c:v>2015年</c:v>
                </c:pt>
                <c:pt idx="10">
                  <c:v>2016年</c:v>
                </c:pt>
                <c:pt idx="11">
                  <c:v>2017年</c:v>
                </c:pt>
                <c:pt idx="12">
                  <c:v>2018年</c:v>
                </c:pt>
              </c:strCache>
            </c:strRef>
          </c:cat>
          <c:val>
            <c:numRef>
              <c:f>[1]図１・２!$AA$29:$AM$29</c:f>
              <c:numCache>
                <c:formatCode>General</c:formatCode>
                <c:ptCount val="13"/>
                <c:pt idx="0">
                  <c:v>0.25</c:v>
                </c:pt>
                <c:pt idx="1">
                  <c:v>0.31</c:v>
                </c:pt>
                <c:pt idx="2">
                  <c:v>0.46</c:v>
                </c:pt>
                <c:pt idx="3">
                  <c:v>0.78</c:v>
                </c:pt>
                <c:pt idx="4">
                  <c:v>0.97</c:v>
                </c:pt>
                <c:pt idx="5">
                  <c:v>1.1200000000000001</c:v>
                </c:pt>
                <c:pt idx="6">
                  <c:v>0.28999999999999998</c:v>
                </c:pt>
                <c:pt idx="7">
                  <c:v>0.36</c:v>
                </c:pt>
                <c:pt idx="8">
                  <c:v>0.43</c:v>
                </c:pt>
                <c:pt idx="9">
                  <c:v>0.34</c:v>
                </c:pt>
                <c:pt idx="10">
                  <c:v>0.1</c:v>
                </c:pt>
                <c:pt idx="11">
                  <c:v>0.53</c:v>
                </c:pt>
                <c:pt idx="12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E0-4B8B-A85F-723FD4241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6983920"/>
        <c:axId val="986985200"/>
      </c:lineChart>
      <c:catAx>
        <c:axId val="98698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6985200"/>
        <c:crosses val="autoZero"/>
        <c:auto val="1"/>
        <c:lblAlgn val="ctr"/>
        <c:lblOffset val="100"/>
        <c:noMultiLvlLbl val="0"/>
      </c:catAx>
      <c:valAx>
        <c:axId val="98698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698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59514749651512E-2"/>
          <c:y val="3.1319910514541388E-2"/>
          <c:w val="0.8983468648356755"/>
          <c:h val="0.79921647377970373"/>
        </c:manualLayout>
      </c:layout>
      <c:lineChart>
        <c:grouping val="standard"/>
        <c:varyColors val="0"/>
        <c:ser>
          <c:idx val="0"/>
          <c:order val="0"/>
          <c:tx>
            <c:strRef>
              <c:f>[1]図１・２!$A$25</c:f>
              <c:strCache>
                <c:ptCount val="1"/>
                <c:pt idx="0">
                  <c:v>貸付金に対する経常剰余金比率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[1]図１・２!$B$24:$AN$24</c:f>
              <c:strCache>
                <c:ptCount val="39"/>
                <c:pt idx="0">
                  <c:v>1981年</c:v>
                </c:pt>
                <c:pt idx="1">
                  <c:v>1982年</c:v>
                </c:pt>
                <c:pt idx="2">
                  <c:v>1983年</c:v>
                </c:pt>
                <c:pt idx="3">
                  <c:v>1984年</c:v>
                </c:pt>
                <c:pt idx="4">
                  <c:v>1985年</c:v>
                </c:pt>
                <c:pt idx="5">
                  <c:v>1986年</c:v>
                </c:pt>
                <c:pt idx="6">
                  <c:v>1987年</c:v>
                </c:pt>
                <c:pt idx="7">
                  <c:v>1988年</c:v>
                </c:pt>
                <c:pt idx="8">
                  <c:v>1989年</c:v>
                </c:pt>
                <c:pt idx="9">
                  <c:v>1990年</c:v>
                </c:pt>
                <c:pt idx="10">
                  <c:v>1991年</c:v>
                </c:pt>
                <c:pt idx="11">
                  <c:v>1992年</c:v>
                </c:pt>
                <c:pt idx="12">
                  <c:v>1993年</c:v>
                </c:pt>
                <c:pt idx="13">
                  <c:v>1994年</c:v>
                </c:pt>
                <c:pt idx="14">
                  <c:v>1995年</c:v>
                </c:pt>
                <c:pt idx="15">
                  <c:v>1996年</c:v>
                </c:pt>
                <c:pt idx="16">
                  <c:v>1997年</c:v>
                </c:pt>
                <c:pt idx="17">
                  <c:v>1998年</c:v>
                </c:pt>
                <c:pt idx="18">
                  <c:v>1999年</c:v>
                </c:pt>
                <c:pt idx="19">
                  <c:v>2000年</c:v>
                </c:pt>
                <c:pt idx="20">
                  <c:v>2001年</c:v>
                </c:pt>
                <c:pt idx="21">
                  <c:v>2002年</c:v>
                </c:pt>
                <c:pt idx="22">
                  <c:v>2003年</c:v>
                </c:pt>
                <c:pt idx="23">
                  <c:v>2004年</c:v>
                </c:pt>
                <c:pt idx="24">
                  <c:v>2005年</c:v>
                </c:pt>
                <c:pt idx="25">
                  <c:v>2006年</c:v>
                </c:pt>
                <c:pt idx="26">
                  <c:v>2007年</c:v>
                </c:pt>
                <c:pt idx="27">
                  <c:v>2008年</c:v>
                </c:pt>
                <c:pt idx="28">
                  <c:v>2009年</c:v>
                </c:pt>
                <c:pt idx="29">
                  <c:v>2010年</c:v>
                </c:pt>
                <c:pt idx="30">
                  <c:v>2011年</c:v>
                </c:pt>
                <c:pt idx="31">
                  <c:v>2012年</c:v>
                </c:pt>
                <c:pt idx="32">
                  <c:v>2013年</c:v>
                </c:pt>
                <c:pt idx="33">
                  <c:v>2014年</c:v>
                </c:pt>
                <c:pt idx="34">
                  <c:v>2015年</c:v>
                </c:pt>
                <c:pt idx="35">
                  <c:v>2016年</c:v>
                </c:pt>
                <c:pt idx="36">
                  <c:v>2017年</c:v>
                </c:pt>
                <c:pt idx="37">
                  <c:v>2018年</c:v>
                </c:pt>
                <c:pt idx="38">
                  <c:v>2019年</c:v>
                </c:pt>
              </c:strCache>
            </c:strRef>
          </c:cat>
          <c:val>
            <c:numRef>
              <c:f>[1]図１・２!$B$25:$AN$25</c:f>
              <c:numCache>
                <c:formatCode>General</c:formatCode>
                <c:ptCount val="39"/>
                <c:pt idx="0">
                  <c:v>3.9501913479514664E-2</c:v>
                </c:pt>
                <c:pt idx="1">
                  <c:v>4.6146823115624609E-3</c:v>
                </c:pt>
                <c:pt idx="2">
                  <c:v>6.2862026297266678E-3</c:v>
                </c:pt>
                <c:pt idx="3">
                  <c:v>7.7178713781380455E-3</c:v>
                </c:pt>
                <c:pt idx="4">
                  <c:v>7.6465956109351141E-3</c:v>
                </c:pt>
                <c:pt idx="5">
                  <c:v>4.0593212168597761E-3</c:v>
                </c:pt>
                <c:pt idx="6">
                  <c:v>1.2600457085571917E-2</c:v>
                </c:pt>
                <c:pt idx="7">
                  <c:v>1.4635996373382828E-2</c:v>
                </c:pt>
                <c:pt idx="8">
                  <c:v>9.6793599375679957E-3</c:v>
                </c:pt>
                <c:pt idx="9">
                  <c:v>5.1315891324640473E-3</c:v>
                </c:pt>
                <c:pt idx="10">
                  <c:v>3.8681727513896697E-3</c:v>
                </c:pt>
                <c:pt idx="11">
                  <c:v>1.5965517185402327E-2</c:v>
                </c:pt>
                <c:pt idx="12">
                  <c:v>2.4933540563428967E-2</c:v>
                </c:pt>
                <c:pt idx="13">
                  <c:v>1.3450978962519436E-2</c:v>
                </c:pt>
                <c:pt idx="14">
                  <c:v>2.4625045753360397E-2</c:v>
                </c:pt>
                <c:pt idx="15">
                  <c:v>2.2893582177944322E-2</c:v>
                </c:pt>
                <c:pt idx="16">
                  <c:v>3.1590727627729603E-2</c:v>
                </c:pt>
                <c:pt idx="17">
                  <c:v>2.9551829718630851E-2</c:v>
                </c:pt>
                <c:pt idx="18">
                  <c:v>2.7503384080809243E-2</c:v>
                </c:pt>
                <c:pt idx="19">
                  <c:v>2.1465447317744867E-2</c:v>
                </c:pt>
                <c:pt idx="20">
                  <c:v>1.9147123387347545E-2</c:v>
                </c:pt>
                <c:pt idx="21">
                  <c:v>2.3211629038859531E-2</c:v>
                </c:pt>
                <c:pt idx="22">
                  <c:v>2.1946874546733799E-2</c:v>
                </c:pt>
                <c:pt idx="23">
                  <c:v>1.3230525063371679E-2</c:v>
                </c:pt>
                <c:pt idx="24">
                  <c:v>1.5582347504709198E-2</c:v>
                </c:pt>
                <c:pt idx="25">
                  <c:v>1.6383187533752803E-2</c:v>
                </c:pt>
                <c:pt idx="26">
                  <c:v>9.0207166840873803E-3</c:v>
                </c:pt>
                <c:pt idx="27">
                  <c:v>1.8192905842275911E-2</c:v>
                </c:pt>
                <c:pt idx="28">
                  <c:v>1.0218631557853909E-2</c:v>
                </c:pt>
                <c:pt idx="29">
                  <c:v>1.1829845550456913E-2</c:v>
                </c:pt>
                <c:pt idx="30">
                  <c:v>9.192351096721136E-3</c:v>
                </c:pt>
                <c:pt idx="31">
                  <c:v>1.3856408098250658E-2</c:v>
                </c:pt>
                <c:pt idx="32">
                  <c:v>6.4492727443526939E-3</c:v>
                </c:pt>
                <c:pt idx="33">
                  <c:v>2.1961214254914662E-2</c:v>
                </c:pt>
                <c:pt idx="34">
                  <c:v>1.8163686726870191E-2</c:v>
                </c:pt>
                <c:pt idx="35">
                  <c:v>1.1946111424429159E-2</c:v>
                </c:pt>
                <c:pt idx="36">
                  <c:v>1.6419072836893811E-2</c:v>
                </c:pt>
                <c:pt idx="37">
                  <c:v>2.9846415949593724E-2</c:v>
                </c:pt>
                <c:pt idx="38">
                  <c:v>2.1240044436427654E-3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72-41CB-998E-5CD370973850}"/>
            </c:ext>
          </c:extLst>
        </c:ser>
        <c:ser>
          <c:idx val="1"/>
          <c:order val="1"/>
          <c:tx>
            <c:strRef>
              <c:f>[1]図１・２!$A$26</c:f>
              <c:strCache>
                <c:ptCount val="1"/>
                <c:pt idx="0">
                  <c:v>貸付金に対する事業剰余金比率</c:v>
                </c:pt>
              </c:strCache>
            </c:strRef>
          </c:tx>
          <c:spPr>
            <a:ln w="28575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[1]図１・２!$B$24:$AN$24</c:f>
              <c:strCache>
                <c:ptCount val="39"/>
                <c:pt idx="0">
                  <c:v>1981年</c:v>
                </c:pt>
                <c:pt idx="1">
                  <c:v>1982年</c:v>
                </c:pt>
                <c:pt idx="2">
                  <c:v>1983年</c:v>
                </c:pt>
                <c:pt idx="3">
                  <c:v>1984年</c:v>
                </c:pt>
                <c:pt idx="4">
                  <c:v>1985年</c:v>
                </c:pt>
                <c:pt idx="5">
                  <c:v>1986年</c:v>
                </c:pt>
                <c:pt idx="6">
                  <c:v>1987年</c:v>
                </c:pt>
                <c:pt idx="7">
                  <c:v>1988年</c:v>
                </c:pt>
                <c:pt idx="8">
                  <c:v>1989年</c:v>
                </c:pt>
                <c:pt idx="9">
                  <c:v>1990年</c:v>
                </c:pt>
                <c:pt idx="10">
                  <c:v>1991年</c:v>
                </c:pt>
                <c:pt idx="11">
                  <c:v>1992年</c:v>
                </c:pt>
                <c:pt idx="12">
                  <c:v>1993年</c:v>
                </c:pt>
                <c:pt idx="13">
                  <c:v>1994年</c:v>
                </c:pt>
                <c:pt idx="14">
                  <c:v>1995年</c:v>
                </c:pt>
                <c:pt idx="15">
                  <c:v>1996年</c:v>
                </c:pt>
                <c:pt idx="16">
                  <c:v>1997年</c:v>
                </c:pt>
                <c:pt idx="17">
                  <c:v>1998年</c:v>
                </c:pt>
                <c:pt idx="18">
                  <c:v>1999年</c:v>
                </c:pt>
                <c:pt idx="19">
                  <c:v>2000年</c:v>
                </c:pt>
                <c:pt idx="20">
                  <c:v>2001年</c:v>
                </c:pt>
                <c:pt idx="21">
                  <c:v>2002年</c:v>
                </c:pt>
                <c:pt idx="22">
                  <c:v>2003年</c:v>
                </c:pt>
                <c:pt idx="23">
                  <c:v>2004年</c:v>
                </c:pt>
                <c:pt idx="24">
                  <c:v>2005年</c:v>
                </c:pt>
                <c:pt idx="25">
                  <c:v>2006年</c:v>
                </c:pt>
                <c:pt idx="26">
                  <c:v>2007年</c:v>
                </c:pt>
                <c:pt idx="27">
                  <c:v>2008年</c:v>
                </c:pt>
                <c:pt idx="28">
                  <c:v>2009年</c:v>
                </c:pt>
                <c:pt idx="29">
                  <c:v>2010年</c:v>
                </c:pt>
                <c:pt idx="30">
                  <c:v>2011年</c:v>
                </c:pt>
                <c:pt idx="31">
                  <c:v>2012年</c:v>
                </c:pt>
                <c:pt idx="32">
                  <c:v>2013年</c:v>
                </c:pt>
                <c:pt idx="33">
                  <c:v>2014年</c:v>
                </c:pt>
                <c:pt idx="34">
                  <c:v>2015年</c:v>
                </c:pt>
                <c:pt idx="35">
                  <c:v>2016年</c:v>
                </c:pt>
                <c:pt idx="36">
                  <c:v>2017年</c:v>
                </c:pt>
                <c:pt idx="37">
                  <c:v>2018年</c:v>
                </c:pt>
                <c:pt idx="38">
                  <c:v>2019年</c:v>
                </c:pt>
              </c:strCache>
            </c:strRef>
          </c:cat>
          <c:val>
            <c:numRef>
              <c:f>[1]図１・２!$B$26:$AN$26</c:f>
              <c:numCache>
                <c:formatCode>General</c:formatCode>
                <c:ptCount val="39"/>
                <c:pt idx="0">
                  <c:v>4.3953673225199122E-2</c:v>
                </c:pt>
                <c:pt idx="1">
                  <c:v>3.6356938286919551E-3</c:v>
                </c:pt>
                <c:pt idx="2">
                  <c:v>-1.3159687851432079E-3</c:v>
                </c:pt>
                <c:pt idx="3">
                  <c:v>-1.4844203516093289E-3</c:v>
                </c:pt>
                <c:pt idx="4">
                  <c:v>3.4966787889645972E-3</c:v>
                </c:pt>
                <c:pt idx="5">
                  <c:v>-4.9676959264398635E-3</c:v>
                </c:pt>
                <c:pt idx="6">
                  <c:v>3.421275629567312E-3</c:v>
                </c:pt>
                <c:pt idx="7">
                  <c:v>9.5804303503112913E-3</c:v>
                </c:pt>
                <c:pt idx="8">
                  <c:v>7.607376890973014E-3</c:v>
                </c:pt>
                <c:pt idx="9">
                  <c:v>-9.9385179775986839E-4</c:v>
                </c:pt>
                <c:pt idx="10">
                  <c:v>3.2936126664662173E-3</c:v>
                </c:pt>
                <c:pt idx="11">
                  <c:v>1.6970240778406889E-2</c:v>
                </c:pt>
                <c:pt idx="12">
                  <c:v>2.5369551983311363E-2</c:v>
                </c:pt>
                <c:pt idx="13">
                  <c:v>1.2270404443151159E-2</c:v>
                </c:pt>
                <c:pt idx="14">
                  <c:v>2.315831251328624E-2</c:v>
                </c:pt>
                <c:pt idx="15">
                  <c:v>2.0867264471140984E-2</c:v>
                </c:pt>
                <c:pt idx="16">
                  <c:v>3.1523395257553037E-2</c:v>
                </c:pt>
                <c:pt idx="17">
                  <c:v>2.7763729556216515E-2</c:v>
                </c:pt>
                <c:pt idx="18">
                  <c:v>2.6149223915811863E-2</c:v>
                </c:pt>
                <c:pt idx="19">
                  <c:v>2.1086856667290758E-2</c:v>
                </c:pt>
                <c:pt idx="20">
                  <c:v>1.8870841739510293E-2</c:v>
                </c:pt>
                <c:pt idx="21">
                  <c:v>2.162295814343505E-2</c:v>
                </c:pt>
                <c:pt idx="22">
                  <c:v>2.0993474446598524E-2</c:v>
                </c:pt>
                <c:pt idx="23">
                  <c:v>1.2473484198133152E-2</c:v>
                </c:pt>
                <c:pt idx="24">
                  <c:v>1.4941097662169788E-2</c:v>
                </c:pt>
                <c:pt idx="25">
                  <c:v>1.4928288353377017E-2</c:v>
                </c:pt>
                <c:pt idx="26">
                  <c:v>8.6503103185459531E-3</c:v>
                </c:pt>
                <c:pt idx="27">
                  <c:v>1.7709320712436485E-2</c:v>
                </c:pt>
                <c:pt idx="28">
                  <c:v>8.3317973319735686E-3</c:v>
                </c:pt>
                <c:pt idx="29">
                  <c:v>9.2521998746995411E-3</c:v>
                </c:pt>
                <c:pt idx="30">
                  <c:v>5.1902492694082978E-3</c:v>
                </c:pt>
                <c:pt idx="31">
                  <c:v>9.5945537767366806E-3</c:v>
                </c:pt>
                <c:pt idx="32">
                  <c:v>2.8388500451646216E-3</c:v>
                </c:pt>
                <c:pt idx="33">
                  <c:v>1.8710272160725384E-2</c:v>
                </c:pt>
                <c:pt idx="34">
                  <c:v>1.6117710006570904E-2</c:v>
                </c:pt>
                <c:pt idx="35">
                  <c:v>9.3628957625903914E-3</c:v>
                </c:pt>
                <c:pt idx="36">
                  <c:v>1.1410239323312577E-2</c:v>
                </c:pt>
                <c:pt idx="37">
                  <c:v>2.2396907875163611E-3</c:v>
                </c:pt>
                <c:pt idx="38">
                  <c:v>-7.7785265334758043E-3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72-41CB-998E-5CD370973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0112568"/>
        <c:axId val="930112888"/>
      </c:lineChart>
      <c:catAx>
        <c:axId val="93011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0112888"/>
        <c:crosses val="autoZero"/>
        <c:auto val="1"/>
        <c:lblAlgn val="ctr"/>
        <c:lblOffset val="100"/>
        <c:noMultiLvlLbl val="0"/>
      </c:catAx>
      <c:valAx>
        <c:axId val="93011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0112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362807519873412E-2"/>
          <c:y val="0.87080484067008401"/>
          <c:w val="0.9"/>
          <c:h val="0.129195330846802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[1]図３!$I$52</c:f>
              <c:strCache>
                <c:ptCount val="1"/>
                <c:pt idx="0">
                  <c:v>貸付金に対する借入利息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[1]図３!$J$51:$AV$51</c:f>
              <c:strCache>
                <c:ptCount val="39"/>
                <c:pt idx="0">
                  <c:v>1981年</c:v>
                </c:pt>
                <c:pt idx="1">
                  <c:v>1982年</c:v>
                </c:pt>
                <c:pt idx="2">
                  <c:v>1983年</c:v>
                </c:pt>
                <c:pt idx="3">
                  <c:v>1984年</c:v>
                </c:pt>
                <c:pt idx="4">
                  <c:v>1985年</c:v>
                </c:pt>
                <c:pt idx="5">
                  <c:v>1986年</c:v>
                </c:pt>
                <c:pt idx="6">
                  <c:v>1987年</c:v>
                </c:pt>
                <c:pt idx="7">
                  <c:v>1988年</c:v>
                </c:pt>
                <c:pt idx="8">
                  <c:v>1989年</c:v>
                </c:pt>
                <c:pt idx="9">
                  <c:v>1990年</c:v>
                </c:pt>
                <c:pt idx="10">
                  <c:v>1991年</c:v>
                </c:pt>
                <c:pt idx="11">
                  <c:v>1992年</c:v>
                </c:pt>
                <c:pt idx="12">
                  <c:v>1993年</c:v>
                </c:pt>
                <c:pt idx="13">
                  <c:v>1994年</c:v>
                </c:pt>
                <c:pt idx="14">
                  <c:v>1995年</c:v>
                </c:pt>
                <c:pt idx="15">
                  <c:v>1996年</c:v>
                </c:pt>
                <c:pt idx="16">
                  <c:v>1997年</c:v>
                </c:pt>
                <c:pt idx="17">
                  <c:v>1998年</c:v>
                </c:pt>
                <c:pt idx="18">
                  <c:v>1999年</c:v>
                </c:pt>
                <c:pt idx="19">
                  <c:v>2000年</c:v>
                </c:pt>
                <c:pt idx="20">
                  <c:v>2001年</c:v>
                </c:pt>
                <c:pt idx="21">
                  <c:v>2002年</c:v>
                </c:pt>
                <c:pt idx="22">
                  <c:v>2003年</c:v>
                </c:pt>
                <c:pt idx="23">
                  <c:v>2004年</c:v>
                </c:pt>
                <c:pt idx="24">
                  <c:v>2005年</c:v>
                </c:pt>
                <c:pt idx="25">
                  <c:v>2006年</c:v>
                </c:pt>
                <c:pt idx="26">
                  <c:v>2007年</c:v>
                </c:pt>
                <c:pt idx="27">
                  <c:v>2008年</c:v>
                </c:pt>
                <c:pt idx="28">
                  <c:v>2009年</c:v>
                </c:pt>
                <c:pt idx="29">
                  <c:v>2010年</c:v>
                </c:pt>
                <c:pt idx="30">
                  <c:v>2011年</c:v>
                </c:pt>
                <c:pt idx="31">
                  <c:v>2012年</c:v>
                </c:pt>
                <c:pt idx="32">
                  <c:v>2013年</c:v>
                </c:pt>
                <c:pt idx="33">
                  <c:v>2014年</c:v>
                </c:pt>
                <c:pt idx="34">
                  <c:v>2015年</c:v>
                </c:pt>
                <c:pt idx="35">
                  <c:v>2016年</c:v>
                </c:pt>
                <c:pt idx="36">
                  <c:v>2017年</c:v>
                </c:pt>
                <c:pt idx="37">
                  <c:v>2018年</c:v>
                </c:pt>
                <c:pt idx="38">
                  <c:v>2019年</c:v>
                </c:pt>
              </c:strCache>
            </c:strRef>
          </c:cat>
          <c:val>
            <c:numRef>
              <c:f>[1]図３!$J$52:$AV$52</c:f>
              <c:numCache>
                <c:formatCode>General</c:formatCode>
                <c:ptCount val="39"/>
                <c:pt idx="0">
                  <c:v>7.2940531381770354E-2</c:v>
                </c:pt>
                <c:pt idx="1">
                  <c:v>9.2359305821477444E-2</c:v>
                </c:pt>
                <c:pt idx="2">
                  <c:v>8.071599740234299E-2</c:v>
                </c:pt>
                <c:pt idx="3">
                  <c:v>6.4289491675370153E-2</c:v>
                </c:pt>
                <c:pt idx="4">
                  <c:v>6.1170904888096886E-2</c:v>
                </c:pt>
                <c:pt idx="5">
                  <c:v>5.2158268677436677E-2</c:v>
                </c:pt>
                <c:pt idx="6">
                  <c:v>3.8541989533706786E-2</c:v>
                </c:pt>
                <c:pt idx="7">
                  <c:v>3.3964785258672005E-2</c:v>
                </c:pt>
                <c:pt idx="8">
                  <c:v>4.1400676666366612E-2</c:v>
                </c:pt>
                <c:pt idx="9">
                  <c:v>6.3980112830046162E-2</c:v>
                </c:pt>
                <c:pt idx="10">
                  <c:v>6.2935482909179094E-2</c:v>
                </c:pt>
                <c:pt idx="11">
                  <c:v>4.6646325832497899E-2</c:v>
                </c:pt>
                <c:pt idx="12">
                  <c:v>3.7288159707449739E-2</c:v>
                </c:pt>
                <c:pt idx="13">
                  <c:v>3.3446631157683829E-2</c:v>
                </c:pt>
                <c:pt idx="14">
                  <c:v>2.7740207648730867E-2</c:v>
                </c:pt>
                <c:pt idx="15">
                  <c:v>2.1080017632992075E-2</c:v>
                </c:pt>
                <c:pt idx="16">
                  <c:v>1.9556877083118273E-2</c:v>
                </c:pt>
                <c:pt idx="17">
                  <c:v>1.9181356933107487E-2</c:v>
                </c:pt>
                <c:pt idx="18">
                  <c:v>1.7293883187593343E-2</c:v>
                </c:pt>
                <c:pt idx="19">
                  <c:v>1.7655123699050208E-2</c:v>
                </c:pt>
                <c:pt idx="20">
                  <c:v>1.7006107428090847E-2</c:v>
                </c:pt>
                <c:pt idx="21">
                  <c:v>1.7332679517604768E-2</c:v>
                </c:pt>
                <c:pt idx="22">
                  <c:v>1.7669079762838099E-2</c:v>
                </c:pt>
                <c:pt idx="23">
                  <c:v>1.7401448724066109E-2</c:v>
                </c:pt>
                <c:pt idx="24">
                  <c:v>1.7746355836443344E-2</c:v>
                </c:pt>
                <c:pt idx="25">
                  <c:v>1.802437567572444E-2</c:v>
                </c:pt>
                <c:pt idx="26">
                  <c:v>1.6956517769533514E-2</c:v>
                </c:pt>
                <c:pt idx="27">
                  <c:v>1.6511290509239579E-2</c:v>
                </c:pt>
                <c:pt idx="28">
                  <c:v>1.70482037411132E-2</c:v>
                </c:pt>
                <c:pt idx="29">
                  <c:v>1.7469878573131547E-2</c:v>
                </c:pt>
                <c:pt idx="30">
                  <c:v>1.6483082447741135E-2</c:v>
                </c:pt>
                <c:pt idx="31">
                  <c:v>1.6548231690074505E-2</c:v>
                </c:pt>
                <c:pt idx="32">
                  <c:v>1.613024642120689E-2</c:v>
                </c:pt>
                <c:pt idx="33">
                  <c:v>1.6327424142412637E-2</c:v>
                </c:pt>
                <c:pt idx="34">
                  <c:v>1.4684136169300956E-2</c:v>
                </c:pt>
                <c:pt idx="35">
                  <c:v>1.2746410708801439E-2</c:v>
                </c:pt>
                <c:pt idx="36">
                  <c:v>1.1786886005077771E-2</c:v>
                </c:pt>
                <c:pt idx="37">
                  <c:v>1.0827172872114359E-2</c:v>
                </c:pt>
                <c:pt idx="38">
                  <c:v>1.0026575734423388E-2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5C-48EF-A9F6-1AB6F2457C5A}"/>
            </c:ext>
          </c:extLst>
        </c:ser>
        <c:ser>
          <c:idx val="1"/>
          <c:order val="1"/>
          <c:tx>
            <c:strRef>
              <c:f>[1]図３!$I$53</c:f>
              <c:strCache>
                <c:ptCount val="1"/>
                <c:pt idx="0">
                  <c:v>貸付金に対する人件費率</c:v>
                </c:pt>
              </c:strCache>
            </c:strRef>
          </c:tx>
          <c:spPr>
            <a:ln w="28575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[1]図３!$J$51:$AV$51</c:f>
              <c:strCache>
                <c:ptCount val="39"/>
                <c:pt idx="0">
                  <c:v>1981年</c:v>
                </c:pt>
                <c:pt idx="1">
                  <c:v>1982年</c:v>
                </c:pt>
                <c:pt idx="2">
                  <c:v>1983年</c:v>
                </c:pt>
                <c:pt idx="3">
                  <c:v>1984年</c:v>
                </c:pt>
                <c:pt idx="4">
                  <c:v>1985年</c:v>
                </c:pt>
                <c:pt idx="5">
                  <c:v>1986年</c:v>
                </c:pt>
                <c:pt idx="6">
                  <c:v>1987年</c:v>
                </c:pt>
                <c:pt idx="7">
                  <c:v>1988年</c:v>
                </c:pt>
                <c:pt idx="8">
                  <c:v>1989年</c:v>
                </c:pt>
                <c:pt idx="9">
                  <c:v>1990年</c:v>
                </c:pt>
                <c:pt idx="10">
                  <c:v>1991年</c:v>
                </c:pt>
                <c:pt idx="11">
                  <c:v>1992年</c:v>
                </c:pt>
                <c:pt idx="12">
                  <c:v>1993年</c:v>
                </c:pt>
                <c:pt idx="13">
                  <c:v>1994年</c:v>
                </c:pt>
                <c:pt idx="14">
                  <c:v>1995年</c:v>
                </c:pt>
                <c:pt idx="15">
                  <c:v>1996年</c:v>
                </c:pt>
                <c:pt idx="16">
                  <c:v>1997年</c:v>
                </c:pt>
                <c:pt idx="17">
                  <c:v>1998年</c:v>
                </c:pt>
                <c:pt idx="18">
                  <c:v>1999年</c:v>
                </c:pt>
                <c:pt idx="19">
                  <c:v>2000年</c:v>
                </c:pt>
                <c:pt idx="20">
                  <c:v>2001年</c:v>
                </c:pt>
                <c:pt idx="21">
                  <c:v>2002年</c:v>
                </c:pt>
                <c:pt idx="22">
                  <c:v>2003年</c:v>
                </c:pt>
                <c:pt idx="23">
                  <c:v>2004年</c:v>
                </c:pt>
                <c:pt idx="24">
                  <c:v>2005年</c:v>
                </c:pt>
                <c:pt idx="25">
                  <c:v>2006年</c:v>
                </c:pt>
                <c:pt idx="26">
                  <c:v>2007年</c:v>
                </c:pt>
                <c:pt idx="27">
                  <c:v>2008年</c:v>
                </c:pt>
                <c:pt idx="28">
                  <c:v>2009年</c:v>
                </c:pt>
                <c:pt idx="29">
                  <c:v>2010年</c:v>
                </c:pt>
                <c:pt idx="30">
                  <c:v>2011年</c:v>
                </c:pt>
                <c:pt idx="31">
                  <c:v>2012年</c:v>
                </c:pt>
                <c:pt idx="32">
                  <c:v>2013年</c:v>
                </c:pt>
                <c:pt idx="33">
                  <c:v>2014年</c:v>
                </c:pt>
                <c:pt idx="34">
                  <c:v>2015年</c:v>
                </c:pt>
                <c:pt idx="35">
                  <c:v>2016年</c:v>
                </c:pt>
                <c:pt idx="36">
                  <c:v>2017年</c:v>
                </c:pt>
                <c:pt idx="37">
                  <c:v>2018年</c:v>
                </c:pt>
                <c:pt idx="38">
                  <c:v>2019年</c:v>
                </c:pt>
              </c:strCache>
            </c:strRef>
          </c:cat>
          <c:val>
            <c:numRef>
              <c:f>[1]図３!$J$53:$AV$53</c:f>
              <c:numCache>
                <c:formatCode>General</c:formatCode>
                <c:ptCount val="39"/>
                <c:pt idx="0">
                  <c:v>3.4387598553587605E-2</c:v>
                </c:pt>
                <c:pt idx="1">
                  <c:v>4.8696106613331382E-2</c:v>
                </c:pt>
                <c:pt idx="2">
                  <c:v>4.5978177293683191E-2</c:v>
                </c:pt>
                <c:pt idx="3">
                  <c:v>3.8980465592030673E-2</c:v>
                </c:pt>
                <c:pt idx="4">
                  <c:v>4.1742959703956181E-2</c:v>
                </c:pt>
                <c:pt idx="5">
                  <c:v>4.3764705228199412E-2</c:v>
                </c:pt>
                <c:pt idx="6">
                  <c:v>4.0309915384110766E-2</c:v>
                </c:pt>
                <c:pt idx="7">
                  <c:v>3.2629922187769431E-2</c:v>
                </c:pt>
                <c:pt idx="8">
                  <c:v>3.0308312167804552E-2</c:v>
                </c:pt>
                <c:pt idx="9">
                  <c:v>3.359312557619664E-2</c:v>
                </c:pt>
                <c:pt idx="10">
                  <c:v>2.8074826047039529E-2</c:v>
                </c:pt>
                <c:pt idx="11">
                  <c:v>2.8885257602360933E-2</c:v>
                </c:pt>
                <c:pt idx="12">
                  <c:v>2.9115525355081075E-2</c:v>
                </c:pt>
                <c:pt idx="13">
                  <c:v>3.2015115678841757E-2</c:v>
                </c:pt>
                <c:pt idx="14">
                  <c:v>3.4610215235313296E-2</c:v>
                </c:pt>
                <c:pt idx="15">
                  <c:v>3.4893839561621239E-2</c:v>
                </c:pt>
                <c:pt idx="16">
                  <c:v>3.3091464979143323E-2</c:v>
                </c:pt>
                <c:pt idx="17">
                  <c:v>3.5686082508890701E-2</c:v>
                </c:pt>
                <c:pt idx="18">
                  <c:v>3.5072949902823496E-2</c:v>
                </c:pt>
                <c:pt idx="19">
                  <c:v>3.5950752111736178E-2</c:v>
                </c:pt>
                <c:pt idx="20">
                  <c:v>4.0296006173046274E-2</c:v>
                </c:pt>
                <c:pt idx="21">
                  <c:v>3.6206980971507888E-2</c:v>
                </c:pt>
                <c:pt idx="22">
                  <c:v>3.8447398474017278E-2</c:v>
                </c:pt>
                <c:pt idx="23">
                  <c:v>3.5448590809282823E-2</c:v>
                </c:pt>
                <c:pt idx="24">
                  <c:v>3.5887397851798349E-2</c:v>
                </c:pt>
                <c:pt idx="25">
                  <c:v>3.5515799560619066E-2</c:v>
                </c:pt>
                <c:pt idx="26">
                  <c:v>3.578312492689744E-2</c:v>
                </c:pt>
                <c:pt idx="27">
                  <c:v>3.4169209539903315E-2</c:v>
                </c:pt>
                <c:pt idx="28">
                  <c:v>4.0007213899746354E-2</c:v>
                </c:pt>
                <c:pt idx="29">
                  <c:v>4.2216916000123665E-2</c:v>
                </c:pt>
                <c:pt idx="30">
                  <c:v>4.8821251616730739E-2</c:v>
                </c:pt>
                <c:pt idx="31">
                  <c:v>4.3891981648871037E-2</c:v>
                </c:pt>
                <c:pt idx="32">
                  <c:v>4.4562709600693362E-2</c:v>
                </c:pt>
                <c:pt idx="33">
                  <c:v>3.5007493715814214E-2</c:v>
                </c:pt>
                <c:pt idx="34">
                  <c:v>3.2136991676210078E-2</c:v>
                </c:pt>
                <c:pt idx="35">
                  <c:v>3.776257384596729E-2</c:v>
                </c:pt>
                <c:pt idx="36">
                  <c:v>3.8162706035299164E-2</c:v>
                </c:pt>
                <c:pt idx="37">
                  <c:v>4.766779656998351E-2</c:v>
                </c:pt>
                <c:pt idx="38">
                  <c:v>5.1903765358600772E-2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C-48EF-A9F6-1AB6F2457C5A}"/>
            </c:ext>
          </c:extLst>
        </c:ser>
        <c:ser>
          <c:idx val="2"/>
          <c:order val="2"/>
          <c:tx>
            <c:strRef>
              <c:f>[1]図３!$I$54</c:f>
              <c:strCache>
                <c:ptCount val="1"/>
                <c:pt idx="0">
                  <c:v>貸付金に対する物件費率</c:v>
                </c:pt>
              </c:strCache>
            </c:strRef>
          </c:tx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[1]図３!$J$51:$AV$51</c:f>
              <c:strCache>
                <c:ptCount val="39"/>
                <c:pt idx="0">
                  <c:v>1981年</c:v>
                </c:pt>
                <c:pt idx="1">
                  <c:v>1982年</c:v>
                </c:pt>
                <c:pt idx="2">
                  <c:v>1983年</c:v>
                </c:pt>
                <c:pt idx="3">
                  <c:v>1984年</c:v>
                </c:pt>
                <c:pt idx="4">
                  <c:v>1985年</c:v>
                </c:pt>
                <c:pt idx="5">
                  <c:v>1986年</c:v>
                </c:pt>
                <c:pt idx="6">
                  <c:v>1987年</c:v>
                </c:pt>
                <c:pt idx="7">
                  <c:v>1988年</c:v>
                </c:pt>
                <c:pt idx="8">
                  <c:v>1989年</c:v>
                </c:pt>
                <c:pt idx="9">
                  <c:v>1990年</c:v>
                </c:pt>
                <c:pt idx="10">
                  <c:v>1991年</c:v>
                </c:pt>
                <c:pt idx="11">
                  <c:v>1992年</c:v>
                </c:pt>
                <c:pt idx="12">
                  <c:v>1993年</c:v>
                </c:pt>
                <c:pt idx="13">
                  <c:v>1994年</c:v>
                </c:pt>
                <c:pt idx="14">
                  <c:v>1995年</c:v>
                </c:pt>
                <c:pt idx="15">
                  <c:v>1996年</c:v>
                </c:pt>
                <c:pt idx="16">
                  <c:v>1997年</c:v>
                </c:pt>
                <c:pt idx="17">
                  <c:v>1998年</c:v>
                </c:pt>
                <c:pt idx="18">
                  <c:v>1999年</c:v>
                </c:pt>
                <c:pt idx="19">
                  <c:v>2000年</c:v>
                </c:pt>
                <c:pt idx="20">
                  <c:v>2001年</c:v>
                </c:pt>
                <c:pt idx="21">
                  <c:v>2002年</c:v>
                </c:pt>
                <c:pt idx="22">
                  <c:v>2003年</c:v>
                </c:pt>
                <c:pt idx="23">
                  <c:v>2004年</c:v>
                </c:pt>
                <c:pt idx="24">
                  <c:v>2005年</c:v>
                </c:pt>
                <c:pt idx="25">
                  <c:v>2006年</c:v>
                </c:pt>
                <c:pt idx="26">
                  <c:v>2007年</c:v>
                </c:pt>
                <c:pt idx="27">
                  <c:v>2008年</c:v>
                </c:pt>
                <c:pt idx="28">
                  <c:v>2009年</c:v>
                </c:pt>
                <c:pt idx="29">
                  <c:v>2010年</c:v>
                </c:pt>
                <c:pt idx="30">
                  <c:v>2011年</c:v>
                </c:pt>
                <c:pt idx="31">
                  <c:v>2012年</c:v>
                </c:pt>
                <c:pt idx="32">
                  <c:v>2013年</c:v>
                </c:pt>
                <c:pt idx="33">
                  <c:v>2014年</c:v>
                </c:pt>
                <c:pt idx="34">
                  <c:v>2015年</c:v>
                </c:pt>
                <c:pt idx="35">
                  <c:v>2016年</c:v>
                </c:pt>
                <c:pt idx="36">
                  <c:v>2017年</c:v>
                </c:pt>
                <c:pt idx="37">
                  <c:v>2018年</c:v>
                </c:pt>
                <c:pt idx="38">
                  <c:v>2019年</c:v>
                </c:pt>
              </c:strCache>
            </c:strRef>
          </c:cat>
          <c:val>
            <c:numRef>
              <c:f>[1]図３!$J$54:$AV$54</c:f>
              <c:numCache>
                <c:formatCode>General</c:formatCode>
                <c:ptCount val="39"/>
                <c:pt idx="0">
                  <c:v>2.5759374903873936E-2</c:v>
                </c:pt>
                <c:pt idx="1">
                  <c:v>6.0889538960370984E-2</c:v>
                </c:pt>
                <c:pt idx="2">
                  <c:v>4.9372558598489796E-2</c:v>
                </c:pt>
                <c:pt idx="3">
                  <c:v>5.3329817981076444E-2</c:v>
                </c:pt>
                <c:pt idx="4">
                  <c:v>5.106024754675887E-2</c:v>
                </c:pt>
                <c:pt idx="5">
                  <c:v>6.2412304664398628E-2</c:v>
                </c:pt>
                <c:pt idx="6">
                  <c:v>4.5583282144162171E-2</c:v>
                </c:pt>
                <c:pt idx="7">
                  <c:v>3.9696219596494747E-2</c:v>
                </c:pt>
                <c:pt idx="8">
                  <c:v>3.832525082715417E-2</c:v>
                </c:pt>
                <c:pt idx="9">
                  <c:v>2.8503752049622605E-2</c:v>
                </c:pt>
                <c:pt idx="10">
                  <c:v>2.624393635055362E-2</c:v>
                </c:pt>
                <c:pt idx="11">
                  <c:v>2.8523887278202417E-2</c:v>
                </c:pt>
                <c:pt idx="12">
                  <c:v>3.5630394938521687E-2</c:v>
                </c:pt>
                <c:pt idx="13">
                  <c:v>4.4257113338342667E-2</c:v>
                </c:pt>
                <c:pt idx="14">
                  <c:v>4.6636742410190418E-2</c:v>
                </c:pt>
                <c:pt idx="15">
                  <c:v>4.1738526886825965E-2</c:v>
                </c:pt>
                <c:pt idx="16">
                  <c:v>3.2229306640010717E-2</c:v>
                </c:pt>
                <c:pt idx="17">
                  <c:v>3.1870868282001759E-2</c:v>
                </c:pt>
                <c:pt idx="18">
                  <c:v>3.0610025241601148E-2</c:v>
                </c:pt>
                <c:pt idx="19">
                  <c:v>2.9737228064317115E-2</c:v>
                </c:pt>
                <c:pt idx="20">
                  <c:v>2.6732324897759629E-2</c:v>
                </c:pt>
                <c:pt idx="21">
                  <c:v>2.5771760408538034E-2</c:v>
                </c:pt>
                <c:pt idx="22">
                  <c:v>3.1616466404575494E-2</c:v>
                </c:pt>
                <c:pt idx="23">
                  <c:v>3.1867120549036246E-2</c:v>
                </c:pt>
                <c:pt idx="24">
                  <c:v>2.9788139961714068E-2</c:v>
                </c:pt>
                <c:pt idx="25">
                  <c:v>2.7985587496866703E-2</c:v>
                </c:pt>
                <c:pt idx="26">
                  <c:v>3.4458148829662187E-2</c:v>
                </c:pt>
                <c:pt idx="27">
                  <c:v>2.6513561284934917E-2</c:v>
                </c:pt>
                <c:pt idx="28">
                  <c:v>2.8212084774638747E-2</c:v>
                </c:pt>
                <c:pt idx="29">
                  <c:v>2.4779798325666215E-2</c:v>
                </c:pt>
                <c:pt idx="30">
                  <c:v>2.2213805349126654E-2</c:v>
                </c:pt>
                <c:pt idx="31">
                  <c:v>2.2576384897752089E-2</c:v>
                </c:pt>
                <c:pt idx="32">
                  <c:v>2.6424992853128857E-2</c:v>
                </c:pt>
                <c:pt idx="33">
                  <c:v>2.5191636863821462E-2</c:v>
                </c:pt>
                <c:pt idx="34">
                  <c:v>2.6960101577836897E-2</c:v>
                </c:pt>
                <c:pt idx="35">
                  <c:v>2.9119895442761706E-2</c:v>
                </c:pt>
                <c:pt idx="36">
                  <c:v>2.8095055649772358E-2</c:v>
                </c:pt>
                <c:pt idx="37">
                  <c:v>2.778720716575547E-2</c:v>
                </c:pt>
                <c:pt idx="38">
                  <c:v>3.6602889020650307E-2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5C-48EF-A9F6-1AB6F2457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365576"/>
        <c:axId val="996363656"/>
      </c:lineChart>
      <c:catAx>
        <c:axId val="99636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6363656"/>
        <c:crosses val="autoZero"/>
        <c:auto val="1"/>
        <c:lblAlgn val="ctr"/>
        <c:lblOffset val="100"/>
        <c:noMultiLvlLbl val="0"/>
      </c:catAx>
      <c:valAx>
        <c:axId val="99636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636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[1]図４!$A$5</c:f>
              <c:strCache>
                <c:ptCount val="1"/>
                <c:pt idx="0">
                  <c:v>出資金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[1]図４!$B$4:$AN$4</c:f>
              <c:strCache>
                <c:ptCount val="39"/>
                <c:pt idx="0">
                  <c:v>1981年</c:v>
                </c:pt>
                <c:pt idx="1">
                  <c:v>1982年</c:v>
                </c:pt>
                <c:pt idx="2">
                  <c:v>1983年</c:v>
                </c:pt>
                <c:pt idx="3">
                  <c:v>1984年</c:v>
                </c:pt>
                <c:pt idx="4">
                  <c:v>1985年</c:v>
                </c:pt>
                <c:pt idx="5">
                  <c:v>1986年</c:v>
                </c:pt>
                <c:pt idx="6">
                  <c:v>1987年</c:v>
                </c:pt>
                <c:pt idx="7">
                  <c:v>1988年</c:v>
                </c:pt>
                <c:pt idx="8">
                  <c:v>1989年</c:v>
                </c:pt>
                <c:pt idx="9">
                  <c:v>1990年</c:v>
                </c:pt>
                <c:pt idx="10">
                  <c:v>1991年</c:v>
                </c:pt>
                <c:pt idx="11">
                  <c:v>1992年</c:v>
                </c:pt>
                <c:pt idx="12">
                  <c:v>1993年</c:v>
                </c:pt>
                <c:pt idx="13">
                  <c:v>1994年</c:v>
                </c:pt>
                <c:pt idx="14">
                  <c:v>1995年</c:v>
                </c:pt>
                <c:pt idx="15">
                  <c:v>1996年</c:v>
                </c:pt>
                <c:pt idx="16">
                  <c:v>1997年</c:v>
                </c:pt>
                <c:pt idx="17">
                  <c:v>1998年</c:v>
                </c:pt>
                <c:pt idx="18">
                  <c:v>1999年</c:v>
                </c:pt>
                <c:pt idx="19">
                  <c:v>2000年</c:v>
                </c:pt>
                <c:pt idx="20">
                  <c:v>2001年</c:v>
                </c:pt>
                <c:pt idx="21">
                  <c:v>2002年</c:v>
                </c:pt>
                <c:pt idx="22">
                  <c:v>2003年</c:v>
                </c:pt>
                <c:pt idx="23">
                  <c:v>2004年</c:v>
                </c:pt>
                <c:pt idx="24">
                  <c:v>2005年</c:v>
                </c:pt>
                <c:pt idx="25">
                  <c:v>2006年</c:v>
                </c:pt>
                <c:pt idx="26">
                  <c:v>2007年</c:v>
                </c:pt>
                <c:pt idx="27">
                  <c:v>2008年</c:v>
                </c:pt>
                <c:pt idx="28">
                  <c:v>2009年</c:v>
                </c:pt>
                <c:pt idx="29">
                  <c:v>2010年</c:v>
                </c:pt>
                <c:pt idx="30">
                  <c:v>2011年</c:v>
                </c:pt>
                <c:pt idx="31">
                  <c:v>2012年</c:v>
                </c:pt>
                <c:pt idx="32">
                  <c:v>2013年</c:v>
                </c:pt>
                <c:pt idx="33">
                  <c:v>2014年</c:v>
                </c:pt>
                <c:pt idx="34">
                  <c:v>2015年</c:v>
                </c:pt>
                <c:pt idx="35">
                  <c:v>2016年</c:v>
                </c:pt>
                <c:pt idx="36">
                  <c:v>2017年</c:v>
                </c:pt>
                <c:pt idx="37">
                  <c:v>2018年</c:v>
                </c:pt>
                <c:pt idx="38">
                  <c:v>2019年</c:v>
                </c:pt>
              </c:strCache>
            </c:strRef>
          </c:cat>
          <c:val>
            <c:numRef>
              <c:f>[1]図４!$B$5:$AN$5</c:f>
              <c:numCache>
                <c:formatCode>General</c:formatCode>
                <c:ptCount val="39"/>
                <c:pt idx="0">
                  <c:v>2808000</c:v>
                </c:pt>
                <c:pt idx="1">
                  <c:v>5998500</c:v>
                </c:pt>
                <c:pt idx="2">
                  <c:v>11698969</c:v>
                </c:pt>
                <c:pt idx="3">
                  <c:v>18147500</c:v>
                </c:pt>
                <c:pt idx="4">
                  <c:v>21274000</c:v>
                </c:pt>
                <c:pt idx="5">
                  <c:v>24246331</c:v>
                </c:pt>
                <c:pt idx="6">
                  <c:v>106193674</c:v>
                </c:pt>
                <c:pt idx="7">
                  <c:v>117599803</c:v>
                </c:pt>
                <c:pt idx="8">
                  <c:v>131227450</c:v>
                </c:pt>
                <c:pt idx="9">
                  <c:v>138978980</c:v>
                </c:pt>
                <c:pt idx="10">
                  <c:v>160903445</c:v>
                </c:pt>
                <c:pt idx="11">
                  <c:v>181076991</c:v>
                </c:pt>
                <c:pt idx="12">
                  <c:v>222661591</c:v>
                </c:pt>
                <c:pt idx="13">
                  <c:v>256665890</c:v>
                </c:pt>
                <c:pt idx="14">
                  <c:v>281799053</c:v>
                </c:pt>
                <c:pt idx="15">
                  <c:v>325628242</c:v>
                </c:pt>
                <c:pt idx="16">
                  <c:v>359110500</c:v>
                </c:pt>
                <c:pt idx="17">
                  <c:v>400766500</c:v>
                </c:pt>
                <c:pt idx="18">
                  <c:v>456753500</c:v>
                </c:pt>
                <c:pt idx="19">
                  <c:v>526283000</c:v>
                </c:pt>
                <c:pt idx="20">
                  <c:v>610693000</c:v>
                </c:pt>
                <c:pt idx="21">
                  <c:v>767294500</c:v>
                </c:pt>
                <c:pt idx="22">
                  <c:v>898358000</c:v>
                </c:pt>
                <c:pt idx="23">
                  <c:v>998373500</c:v>
                </c:pt>
                <c:pt idx="24">
                  <c:v>1014793500</c:v>
                </c:pt>
                <c:pt idx="25">
                  <c:v>1063673000</c:v>
                </c:pt>
                <c:pt idx="26">
                  <c:v>1073210000</c:v>
                </c:pt>
                <c:pt idx="27">
                  <c:v>944397500</c:v>
                </c:pt>
                <c:pt idx="28">
                  <c:v>910822500</c:v>
                </c:pt>
                <c:pt idx="29">
                  <c:v>882198500</c:v>
                </c:pt>
                <c:pt idx="30">
                  <c:v>857604500</c:v>
                </c:pt>
                <c:pt idx="31">
                  <c:v>813657000</c:v>
                </c:pt>
                <c:pt idx="32">
                  <c:v>783969000</c:v>
                </c:pt>
                <c:pt idx="33">
                  <c:v>768776000</c:v>
                </c:pt>
                <c:pt idx="34">
                  <c:v>815266000</c:v>
                </c:pt>
                <c:pt idx="35">
                  <c:v>757387000</c:v>
                </c:pt>
                <c:pt idx="36">
                  <c:v>730070000</c:v>
                </c:pt>
                <c:pt idx="37">
                  <c:v>700307500</c:v>
                </c:pt>
                <c:pt idx="38">
                  <c:v>676823000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09-4F00-A95E-5A6A273265C1}"/>
            </c:ext>
          </c:extLst>
        </c:ser>
        <c:ser>
          <c:idx val="1"/>
          <c:order val="1"/>
          <c:tx>
            <c:strRef>
              <c:f>[1]図４!$A$6</c:f>
              <c:strCache>
                <c:ptCount val="1"/>
                <c:pt idx="0">
                  <c:v>剰余金</c:v>
                </c:pt>
              </c:strCache>
            </c:strRef>
          </c:tx>
          <c:spPr>
            <a:ln w="28575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[1]図４!$B$4:$AN$4</c:f>
              <c:strCache>
                <c:ptCount val="39"/>
                <c:pt idx="0">
                  <c:v>1981年</c:v>
                </c:pt>
                <c:pt idx="1">
                  <c:v>1982年</c:v>
                </c:pt>
                <c:pt idx="2">
                  <c:v>1983年</c:v>
                </c:pt>
                <c:pt idx="3">
                  <c:v>1984年</c:v>
                </c:pt>
                <c:pt idx="4">
                  <c:v>1985年</c:v>
                </c:pt>
                <c:pt idx="5">
                  <c:v>1986年</c:v>
                </c:pt>
                <c:pt idx="6">
                  <c:v>1987年</c:v>
                </c:pt>
                <c:pt idx="7">
                  <c:v>1988年</c:v>
                </c:pt>
                <c:pt idx="8">
                  <c:v>1989年</c:v>
                </c:pt>
                <c:pt idx="9">
                  <c:v>1990年</c:v>
                </c:pt>
                <c:pt idx="10">
                  <c:v>1991年</c:v>
                </c:pt>
                <c:pt idx="11">
                  <c:v>1992年</c:v>
                </c:pt>
                <c:pt idx="12">
                  <c:v>1993年</c:v>
                </c:pt>
                <c:pt idx="13">
                  <c:v>1994年</c:v>
                </c:pt>
                <c:pt idx="14">
                  <c:v>1995年</c:v>
                </c:pt>
                <c:pt idx="15">
                  <c:v>1996年</c:v>
                </c:pt>
                <c:pt idx="16">
                  <c:v>1997年</c:v>
                </c:pt>
                <c:pt idx="17">
                  <c:v>1998年</c:v>
                </c:pt>
                <c:pt idx="18">
                  <c:v>1999年</c:v>
                </c:pt>
                <c:pt idx="19">
                  <c:v>2000年</c:v>
                </c:pt>
                <c:pt idx="20">
                  <c:v>2001年</c:v>
                </c:pt>
                <c:pt idx="21">
                  <c:v>2002年</c:v>
                </c:pt>
                <c:pt idx="22">
                  <c:v>2003年</c:v>
                </c:pt>
                <c:pt idx="23">
                  <c:v>2004年</c:v>
                </c:pt>
                <c:pt idx="24">
                  <c:v>2005年</c:v>
                </c:pt>
                <c:pt idx="25">
                  <c:v>2006年</c:v>
                </c:pt>
                <c:pt idx="26">
                  <c:v>2007年</c:v>
                </c:pt>
                <c:pt idx="27">
                  <c:v>2008年</c:v>
                </c:pt>
                <c:pt idx="28">
                  <c:v>2009年</c:v>
                </c:pt>
                <c:pt idx="29">
                  <c:v>2010年</c:v>
                </c:pt>
                <c:pt idx="30">
                  <c:v>2011年</c:v>
                </c:pt>
                <c:pt idx="31">
                  <c:v>2012年</c:v>
                </c:pt>
                <c:pt idx="32">
                  <c:v>2013年</c:v>
                </c:pt>
                <c:pt idx="33">
                  <c:v>2014年</c:v>
                </c:pt>
                <c:pt idx="34">
                  <c:v>2015年</c:v>
                </c:pt>
                <c:pt idx="35">
                  <c:v>2016年</c:v>
                </c:pt>
                <c:pt idx="36">
                  <c:v>2017年</c:v>
                </c:pt>
                <c:pt idx="37">
                  <c:v>2018年</c:v>
                </c:pt>
                <c:pt idx="38">
                  <c:v>2019年</c:v>
                </c:pt>
              </c:strCache>
            </c:strRef>
          </c:cat>
          <c:val>
            <c:numRef>
              <c:f>[1]図４!$B$6:$AN$6</c:f>
              <c:numCache>
                <c:formatCode>General</c:formatCode>
                <c:ptCount val="39"/>
                <c:pt idx="0">
                  <c:v>7720944</c:v>
                </c:pt>
                <c:pt idx="1">
                  <c:v>4912474</c:v>
                </c:pt>
                <c:pt idx="2">
                  <c:v>6701831</c:v>
                </c:pt>
                <c:pt idx="3">
                  <c:v>5661889</c:v>
                </c:pt>
                <c:pt idx="4">
                  <c:v>6716639</c:v>
                </c:pt>
                <c:pt idx="5">
                  <c:v>6275288</c:v>
                </c:pt>
                <c:pt idx="6">
                  <c:v>8057146</c:v>
                </c:pt>
                <c:pt idx="7">
                  <c:v>14486841</c:v>
                </c:pt>
                <c:pt idx="8">
                  <c:v>15264177</c:v>
                </c:pt>
                <c:pt idx="9">
                  <c:v>18943976</c:v>
                </c:pt>
                <c:pt idx="10">
                  <c:v>17100574</c:v>
                </c:pt>
                <c:pt idx="11">
                  <c:v>40039560</c:v>
                </c:pt>
                <c:pt idx="12">
                  <c:v>58683367</c:v>
                </c:pt>
                <c:pt idx="13">
                  <c:v>68707809</c:v>
                </c:pt>
                <c:pt idx="14">
                  <c:v>107187895</c:v>
                </c:pt>
                <c:pt idx="15">
                  <c:v>132176267</c:v>
                </c:pt>
                <c:pt idx="16">
                  <c:v>181046564</c:v>
                </c:pt>
                <c:pt idx="17">
                  <c:v>223636189</c:v>
                </c:pt>
                <c:pt idx="18">
                  <c:v>262129230</c:v>
                </c:pt>
                <c:pt idx="19">
                  <c:v>293222673</c:v>
                </c:pt>
                <c:pt idx="20">
                  <c:v>321397928</c:v>
                </c:pt>
                <c:pt idx="21">
                  <c:v>379443377</c:v>
                </c:pt>
                <c:pt idx="22">
                  <c:v>441066319</c:v>
                </c:pt>
                <c:pt idx="23">
                  <c:v>458929196</c:v>
                </c:pt>
                <c:pt idx="24">
                  <c:v>485045125</c:v>
                </c:pt>
                <c:pt idx="25">
                  <c:v>532630554</c:v>
                </c:pt>
                <c:pt idx="26">
                  <c:v>536411203</c:v>
                </c:pt>
                <c:pt idx="27">
                  <c:v>596461234</c:v>
                </c:pt>
                <c:pt idx="28">
                  <c:v>606555044</c:v>
                </c:pt>
                <c:pt idx="29">
                  <c:v>362713163</c:v>
                </c:pt>
                <c:pt idx="30">
                  <c:v>599959685</c:v>
                </c:pt>
                <c:pt idx="31">
                  <c:v>623020770</c:v>
                </c:pt>
                <c:pt idx="32">
                  <c:v>634730392</c:v>
                </c:pt>
                <c:pt idx="33">
                  <c:v>681419859</c:v>
                </c:pt>
                <c:pt idx="34">
                  <c:v>709618038</c:v>
                </c:pt>
                <c:pt idx="35">
                  <c:v>721941240</c:v>
                </c:pt>
                <c:pt idx="36">
                  <c:v>741193289</c:v>
                </c:pt>
                <c:pt idx="37">
                  <c:v>780542358</c:v>
                </c:pt>
                <c:pt idx="38">
                  <c:v>794524901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09-4F00-A95E-5A6A27326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5843336"/>
        <c:axId val="1095843656"/>
      </c:lineChart>
      <c:catAx>
        <c:axId val="1095843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5843656"/>
        <c:crosses val="autoZero"/>
        <c:auto val="1"/>
        <c:lblAlgn val="ctr"/>
        <c:lblOffset val="100"/>
        <c:noMultiLvlLbl val="0"/>
      </c:catAx>
      <c:valAx>
        <c:axId val="109584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5843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主要経営指標グラフ!$A$100</c:f>
              <c:strCache>
                <c:ptCount val="1"/>
                <c:pt idx="0">
                  <c:v>貸付残高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主要経営指標グラフ!$B$99:$AV$99</c:f>
              <c:strCache>
                <c:ptCount val="47"/>
                <c:pt idx="0">
                  <c:v>昭和46年度</c:v>
                </c:pt>
                <c:pt idx="1">
                  <c:v>昭和49年度</c:v>
                </c:pt>
                <c:pt idx="2">
                  <c:v>昭和50年度</c:v>
                </c:pt>
                <c:pt idx="3">
                  <c:v>昭和51年度</c:v>
                </c:pt>
                <c:pt idx="4">
                  <c:v>昭和52年度</c:v>
                </c:pt>
                <c:pt idx="5">
                  <c:v>昭和53年度</c:v>
                </c:pt>
                <c:pt idx="6">
                  <c:v>昭和54年度</c:v>
                </c:pt>
                <c:pt idx="7">
                  <c:v>昭和55年度</c:v>
                </c:pt>
                <c:pt idx="8">
                  <c:v>昭和56年度</c:v>
                </c:pt>
                <c:pt idx="9">
                  <c:v>昭和57年度</c:v>
                </c:pt>
                <c:pt idx="10">
                  <c:v>昭和58年度</c:v>
                </c:pt>
                <c:pt idx="11">
                  <c:v>昭和59年度</c:v>
                </c:pt>
                <c:pt idx="12">
                  <c:v>昭和60年度</c:v>
                </c:pt>
                <c:pt idx="13">
                  <c:v>昭和61年度</c:v>
                </c:pt>
                <c:pt idx="14">
                  <c:v>昭和62年度</c:v>
                </c:pt>
                <c:pt idx="15">
                  <c:v>昭和63年度</c:v>
                </c:pt>
                <c:pt idx="16">
                  <c:v>平成元年度</c:v>
                </c:pt>
                <c:pt idx="17">
                  <c:v>平成2年度</c:v>
                </c:pt>
                <c:pt idx="18">
                  <c:v>平成3年度</c:v>
                </c:pt>
                <c:pt idx="19">
                  <c:v>平成4年度</c:v>
                </c:pt>
                <c:pt idx="20">
                  <c:v>平成5年度</c:v>
                </c:pt>
                <c:pt idx="21">
                  <c:v>平成6年度</c:v>
                </c:pt>
                <c:pt idx="22">
                  <c:v>平成7年度</c:v>
                </c:pt>
                <c:pt idx="23">
                  <c:v>平成8年度</c:v>
                </c:pt>
                <c:pt idx="24">
                  <c:v>平成9年度</c:v>
                </c:pt>
                <c:pt idx="25">
                  <c:v>平成10年度</c:v>
                </c:pt>
                <c:pt idx="26">
                  <c:v>平成11年度</c:v>
                </c:pt>
                <c:pt idx="27">
                  <c:v>平成12年度</c:v>
                </c:pt>
                <c:pt idx="28">
                  <c:v>平成13年度</c:v>
                </c:pt>
                <c:pt idx="29">
                  <c:v>平成14年度</c:v>
                </c:pt>
                <c:pt idx="30">
                  <c:v>平成15年度</c:v>
                </c:pt>
                <c:pt idx="31">
                  <c:v>平成16年度</c:v>
                </c:pt>
                <c:pt idx="32">
                  <c:v>平成17年度</c:v>
                </c:pt>
                <c:pt idx="33">
                  <c:v>平成18年度</c:v>
                </c:pt>
                <c:pt idx="34">
                  <c:v>平成19年度</c:v>
                </c:pt>
                <c:pt idx="35">
                  <c:v>平成20年度</c:v>
                </c:pt>
                <c:pt idx="36">
                  <c:v>平成21年度</c:v>
                </c:pt>
                <c:pt idx="37">
                  <c:v>平成22年度</c:v>
                </c:pt>
                <c:pt idx="38">
                  <c:v>平成23年度</c:v>
                </c:pt>
                <c:pt idx="39">
                  <c:v>平成24年度</c:v>
                </c:pt>
                <c:pt idx="40">
                  <c:v>平成25年度</c:v>
                </c:pt>
                <c:pt idx="41">
                  <c:v>平成26年度</c:v>
                </c:pt>
                <c:pt idx="42">
                  <c:v>平成27年度</c:v>
                </c:pt>
                <c:pt idx="43">
                  <c:v>平成28年度</c:v>
                </c:pt>
                <c:pt idx="44">
                  <c:v>平成29年度</c:v>
                </c:pt>
                <c:pt idx="45">
                  <c:v>平成30年度</c:v>
                </c:pt>
                <c:pt idx="46">
                  <c:v>令和元年度</c:v>
                </c:pt>
              </c:strCache>
            </c:strRef>
          </c:cat>
          <c:val>
            <c:numRef>
              <c:f>主要経営指標グラフ!$B$100:$AV$100</c:f>
              <c:numCache>
                <c:formatCode>#,##0_);[Red]\(#,##0\)</c:formatCode>
                <c:ptCount val="47"/>
                <c:pt idx="0">
                  <c:v>56467.805999999997</c:v>
                </c:pt>
                <c:pt idx="1">
                  <c:v>27852.749</c:v>
                </c:pt>
                <c:pt idx="2">
                  <c:v>38742.267</c:v>
                </c:pt>
                <c:pt idx="3">
                  <c:v>39729.896000000001</c:v>
                </c:pt>
                <c:pt idx="4">
                  <c:v>68839.789999999994</c:v>
                </c:pt>
                <c:pt idx="5">
                  <c:v>72944.270999999993</c:v>
                </c:pt>
                <c:pt idx="6">
                  <c:v>77292.929999999993</c:v>
                </c:pt>
                <c:pt idx="7">
                  <c:v>137603.03899999999</c:v>
                </c:pt>
                <c:pt idx="8">
                  <c:v>210117.43299999999</c:v>
                </c:pt>
                <c:pt idx="9">
                  <c:v>340906.41399999999</c:v>
                </c:pt>
                <c:pt idx="10">
                  <c:v>462114.15299999999</c:v>
                </c:pt>
                <c:pt idx="11">
                  <c:v>605317.99199999997</c:v>
                </c:pt>
                <c:pt idx="12">
                  <c:v>610811.44299999997</c:v>
                </c:pt>
                <c:pt idx="13">
                  <c:v>548117.78399999999</c:v>
                </c:pt>
                <c:pt idx="14">
                  <c:v>977261.80099999998</c:v>
                </c:pt>
                <c:pt idx="15">
                  <c:v>1148075.2930000001</c:v>
                </c:pt>
                <c:pt idx="16">
                  <c:v>1336722.0649999999</c:v>
                </c:pt>
                <c:pt idx="17">
                  <c:v>1574665.736</c:v>
                </c:pt>
                <c:pt idx="18">
                  <c:v>1909467.6950000001</c:v>
                </c:pt>
                <c:pt idx="19">
                  <c:v>2233860.9070000001</c:v>
                </c:pt>
                <c:pt idx="20">
                  <c:v>2564628.088</c:v>
                </c:pt>
                <c:pt idx="21">
                  <c:v>2932720.7820000001</c:v>
                </c:pt>
                <c:pt idx="22">
                  <c:v>3060330.824</c:v>
                </c:pt>
                <c:pt idx="23">
                  <c:v>3581582.216</c:v>
                </c:pt>
                <c:pt idx="24">
                  <c:v>4003922.3289999999</c:v>
                </c:pt>
                <c:pt idx="25">
                  <c:v>4102242.1379999998</c:v>
                </c:pt>
                <c:pt idx="26">
                  <c:v>4585975.33</c:v>
                </c:pt>
                <c:pt idx="27">
                  <c:v>5415534.2039999999</c:v>
                </c:pt>
                <c:pt idx="28">
                  <c:v>6058496.1009999998</c:v>
                </c:pt>
                <c:pt idx="29">
                  <c:v>6925468.0789999999</c:v>
                </c:pt>
                <c:pt idx="30">
                  <c:v>7566202.3099999996</c:v>
                </c:pt>
                <c:pt idx="31">
                  <c:v>7970472.8420000002</c:v>
                </c:pt>
                <c:pt idx="32">
                  <c:v>7839237.0829999996</c:v>
                </c:pt>
                <c:pt idx="33">
                  <c:v>7465974.6459999997</c:v>
                </c:pt>
                <c:pt idx="34">
                  <c:v>7115508.2400000002</c:v>
                </c:pt>
                <c:pt idx="35">
                  <c:v>6167948.4009999996</c:v>
                </c:pt>
                <c:pt idx="36">
                  <c:v>5334141.0259999996</c:v>
                </c:pt>
                <c:pt idx="37">
                  <c:v>4947628.2060000002</c:v>
                </c:pt>
                <c:pt idx="38">
                  <c:v>4557057.4919999996</c:v>
                </c:pt>
                <c:pt idx="39">
                  <c:v>4070098.4890000001</c:v>
                </c:pt>
                <c:pt idx="40">
                  <c:v>3495128.1549999998</c:v>
                </c:pt>
                <c:pt idx="41">
                  <c:v>3141588.0260000001</c:v>
                </c:pt>
                <c:pt idx="42">
                  <c:v>2815395.6869999999</c:v>
                </c:pt>
                <c:pt idx="43">
                  <c:v>2434952.6290000002</c:v>
                </c:pt>
                <c:pt idx="44">
                  <c:v>2190567</c:v>
                </c:pt>
                <c:pt idx="45">
                  <c:v>1985979</c:v>
                </c:pt>
                <c:pt idx="46">
                  <c:v>1864252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9-4FD6-8D10-E8E69030F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398080"/>
        <c:axId val="661391520"/>
      </c:barChart>
      <c:lineChart>
        <c:grouping val="standard"/>
        <c:varyColors val="0"/>
        <c:ser>
          <c:idx val="1"/>
          <c:order val="1"/>
          <c:tx>
            <c:strRef>
              <c:f>主要経営指標グラフ!$A$101</c:f>
              <c:strCache>
                <c:ptCount val="1"/>
                <c:pt idx="0">
                  <c:v>自己資本比率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主要経営指標グラフ!$B$99:$AV$99</c:f>
              <c:strCache>
                <c:ptCount val="47"/>
                <c:pt idx="0">
                  <c:v>昭和46年度</c:v>
                </c:pt>
                <c:pt idx="1">
                  <c:v>昭和49年度</c:v>
                </c:pt>
                <c:pt idx="2">
                  <c:v>昭和50年度</c:v>
                </c:pt>
                <c:pt idx="3">
                  <c:v>昭和51年度</c:v>
                </c:pt>
                <c:pt idx="4">
                  <c:v>昭和52年度</c:v>
                </c:pt>
                <c:pt idx="5">
                  <c:v>昭和53年度</c:v>
                </c:pt>
                <c:pt idx="6">
                  <c:v>昭和54年度</c:v>
                </c:pt>
                <c:pt idx="7">
                  <c:v>昭和55年度</c:v>
                </c:pt>
                <c:pt idx="8">
                  <c:v>昭和56年度</c:v>
                </c:pt>
                <c:pt idx="9">
                  <c:v>昭和57年度</c:v>
                </c:pt>
                <c:pt idx="10">
                  <c:v>昭和58年度</c:v>
                </c:pt>
                <c:pt idx="11">
                  <c:v>昭和59年度</c:v>
                </c:pt>
                <c:pt idx="12">
                  <c:v>昭和60年度</c:v>
                </c:pt>
                <c:pt idx="13">
                  <c:v>昭和61年度</c:v>
                </c:pt>
                <c:pt idx="14">
                  <c:v>昭和62年度</c:v>
                </c:pt>
                <c:pt idx="15">
                  <c:v>昭和63年度</c:v>
                </c:pt>
                <c:pt idx="16">
                  <c:v>平成元年度</c:v>
                </c:pt>
                <c:pt idx="17">
                  <c:v>平成2年度</c:v>
                </c:pt>
                <c:pt idx="18">
                  <c:v>平成3年度</c:v>
                </c:pt>
                <c:pt idx="19">
                  <c:v>平成4年度</c:v>
                </c:pt>
                <c:pt idx="20">
                  <c:v>平成5年度</c:v>
                </c:pt>
                <c:pt idx="21">
                  <c:v>平成6年度</c:v>
                </c:pt>
                <c:pt idx="22">
                  <c:v>平成7年度</c:v>
                </c:pt>
                <c:pt idx="23">
                  <c:v>平成8年度</c:v>
                </c:pt>
                <c:pt idx="24">
                  <c:v>平成9年度</c:v>
                </c:pt>
                <c:pt idx="25">
                  <c:v>平成10年度</c:v>
                </c:pt>
                <c:pt idx="26">
                  <c:v>平成11年度</c:v>
                </c:pt>
                <c:pt idx="27">
                  <c:v>平成12年度</c:v>
                </c:pt>
                <c:pt idx="28">
                  <c:v>平成13年度</c:v>
                </c:pt>
                <c:pt idx="29">
                  <c:v>平成14年度</c:v>
                </c:pt>
                <c:pt idx="30">
                  <c:v>平成15年度</c:v>
                </c:pt>
                <c:pt idx="31">
                  <c:v>平成16年度</c:v>
                </c:pt>
                <c:pt idx="32">
                  <c:v>平成17年度</c:v>
                </c:pt>
                <c:pt idx="33">
                  <c:v>平成18年度</c:v>
                </c:pt>
                <c:pt idx="34">
                  <c:v>平成19年度</c:v>
                </c:pt>
                <c:pt idx="35">
                  <c:v>平成20年度</c:v>
                </c:pt>
                <c:pt idx="36">
                  <c:v>平成21年度</c:v>
                </c:pt>
                <c:pt idx="37">
                  <c:v>平成22年度</c:v>
                </c:pt>
                <c:pt idx="38">
                  <c:v>平成23年度</c:v>
                </c:pt>
                <c:pt idx="39">
                  <c:v>平成24年度</c:v>
                </c:pt>
                <c:pt idx="40">
                  <c:v>平成25年度</c:v>
                </c:pt>
                <c:pt idx="41">
                  <c:v>平成26年度</c:v>
                </c:pt>
                <c:pt idx="42">
                  <c:v>平成27年度</c:v>
                </c:pt>
                <c:pt idx="43">
                  <c:v>平成28年度</c:v>
                </c:pt>
                <c:pt idx="44">
                  <c:v>平成29年度</c:v>
                </c:pt>
                <c:pt idx="45">
                  <c:v>平成30年度</c:v>
                </c:pt>
                <c:pt idx="46">
                  <c:v>令和元年度</c:v>
                </c:pt>
              </c:strCache>
            </c:strRef>
          </c:cat>
          <c:val>
            <c:numRef>
              <c:f>主要経営指標グラフ!$B$101:$AV$101</c:f>
              <c:numCache>
                <c:formatCode>#,##0.0;[Red]\-#,##0.0</c:formatCode>
                <c:ptCount val="47"/>
                <c:pt idx="0">
                  <c:v>1.6423906515974722</c:v>
                </c:pt>
                <c:pt idx="1">
                  <c:v>-0.69009609139072092</c:v>
                </c:pt>
                <c:pt idx="2">
                  <c:v>-2.47875057860829</c:v>
                </c:pt>
                <c:pt idx="3">
                  <c:v>1.8998053092979483</c:v>
                </c:pt>
                <c:pt idx="4">
                  <c:v>1.7276261917304327</c:v>
                </c:pt>
                <c:pt idx="5">
                  <c:v>3.6060776826917369</c:v>
                </c:pt>
                <c:pt idx="6">
                  <c:v>5.4911259487093638</c:v>
                </c:pt>
                <c:pt idx="7">
                  <c:v>2.127885764927897</c:v>
                </c:pt>
                <c:pt idx="8">
                  <c:v>3.5215063674953222</c:v>
                </c:pt>
                <c:pt idx="9">
                  <c:v>2.527297390027754</c:v>
                </c:pt>
                <c:pt idx="10">
                  <c:v>3.5481765741487452</c:v>
                </c:pt>
                <c:pt idx="11">
                  <c:v>3.4756766446780172</c:v>
                </c:pt>
                <c:pt idx="12">
                  <c:v>3.9071199160846297</c:v>
                </c:pt>
                <c:pt idx="13">
                  <c:v>4.631879849594692</c:v>
                </c:pt>
                <c:pt idx="14">
                  <c:v>10.760971516065418</c:v>
                </c:pt>
                <c:pt idx="15">
                  <c:v>10.651675285661275</c:v>
                </c:pt>
                <c:pt idx="16">
                  <c:v>9.9466871164498212</c:v>
                </c:pt>
                <c:pt idx="17">
                  <c:v>9.5699724068415382</c:v>
                </c:pt>
                <c:pt idx="18">
                  <c:v>8.9949443889229439</c:v>
                </c:pt>
                <c:pt idx="19">
                  <c:v>9.4629724680154936</c:v>
                </c:pt>
                <c:pt idx="20">
                  <c:v>10.470933525864904</c:v>
                </c:pt>
                <c:pt idx="21">
                  <c:v>10.356010444100971</c:v>
                </c:pt>
                <c:pt idx="22">
                  <c:v>11.989837977307099</c:v>
                </c:pt>
                <c:pt idx="23">
                  <c:v>12.230423565400599</c:v>
                </c:pt>
                <c:pt idx="24">
                  <c:v>12.891276838115267</c:v>
                </c:pt>
                <c:pt idx="25">
                  <c:v>14.445632522940233</c:v>
                </c:pt>
                <c:pt idx="26">
                  <c:v>14.923067332847262</c:v>
                </c:pt>
                <c:pt idx="27">
                  <c:v>14.537754826772831</c:v>
                </c:pt>
                <c:pt idx="28">
                  <c:v>14.711266296911871</c:v>
                </c:pt>
                <c:pt idx="29">
                  <c:v>15.891748520775733</c:v>
                </c:pt>
                <c:pt idx="30">
                  <c:v>17.174933403471851</c:v>
                </c:pt>
                <c:pt idx="31">
                  <c:v>17.81015398989959</c:v>
                </c:pt>
                <c:pt idx="32">
                  <c:v>18.636261092237376</c:v>
                </c:pt>
                <c:pt idx="33">
                  <c:v>20.918813293609784</c:v>
                </c:pt>
                <c:pt idx="34">
                  <c:v>22.049870819760802</c:v>
                </c:pt>
                <c:pt idx="35">
                  <c:v>23.332878576590762</c:v>
                </c:pt>
                <c:pt idx="36">
                  <c:v>24.644482511228532</c:v>
                </c:pt>
                <c:pt idx="37">
                  <c:v>22.979808441195903</c:v>
                </c:pt>
                <c:pt idx="38">
                  <c:v>27.868694313667774</c:v>
                </c:pt>
                <c:pt idx="39">
                  <c:v>35.299999999999997</c:v>
                </c:pt>
                <c:pt idx="40">
                  <c:v>34.6852403924253</c:v>
                </c:pt>
                <c:pt idx="41">
                  <c:v>37.872410471860661</c:v>
                </c:pt>
                <c:pt idx="42">
                  <c:v>43.898048008083762</c:v>
                </c:pt>
                <c:pt idx="43">
                  <c:v>47.100037936282014</c:v>
                </c:pt>
                <c:pt idx="44">
                  <c:v>51.686448465391123</c:v>
                </c:pt>
                <c:pt idx="45">
                  <c:v>56.63142167724294</c:v>
                </c:pt>
                <c:pt idx="46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09-4FD6-8D10-E8E69030F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396440"/>
        <c:axId val="661394800"/>
      </c:lineChart>
      <c:catAx>
        <c:axId val="6613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391520"/>
        <c:crosses val="autoZero"/>
        <c:auto val="1"/>
        <c:lblAlgn val="ctr"/>
        <c:lblOffset val="100"/>
        <c:noMultiLvlLbl val="0"/>
      </c:catAx>
      <c:valAx>
        <c:axId val="66139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398080"/>
        <c:crosses val="autoZero"/>
        <c:crossBetween val="between"/>
      </c:valAx>
      <c:valAx>
        <c:axId val="661394800"/>
        <c:scaling>
          <c:orientation val="minMax"/>
        </c:scaling>
        <c:delete val="0"/>
        <c:axPos val="r"/>
        <c:numFmt formatCode="#,##0.0;[Red]\-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1396440"/>
        <c:crosses val="max"/>
        <c:crossBetween val="between"/>
      </c:valAx>
      <c:catAx>
        <c:axId val="661396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1394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ローン種類別貸付件数　期中純増減（単位：件）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期中純増減推移グラフ!$A$65</c:f>
              <c:strCache>
                <c:ptCount val="1"/>
                <c:pt idx="0">
                  <c:v>無担保ローン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期中純増減推移グラフ!$B$64:$AR$64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期中純増減推移グラフ!$B$65:$AR$65</c:f>
              <c:numCache>
                <c:formatCode>#,##0_ </c:formatCode>
                <c:ptCount val="43"/>
                <c:pt idx="0">
                  <c:v>-15</c:v>
                </c:pt>
                <c:pt idx="1">
                  <c:v>0</c:v>
                </c:pt>
                <c:pt idx="2">
                  <c:v>12</c:v>
                </c:pt>
                <c:pt idx="3">
                  <c:v>15</c:v>
                </c:pt>
                <c:pt idx="4">
                  <c:v>11</c:v>
                </c:pt>
                <c:pt idx="5">
                  <c:v>7</c:v>
                </c:pt>
                <c:pt idx="6">
                  <c:v>10</c:v>
                </c:pt>
                <c:pt idx="7">
                  <c:v>24</c:v>
                </c:pt>
                <c:pt idx="8">
                  <c:v>23</c:v>
                </c:pt>
                <c:pt idx="9">
                  <c:v>-4</c:v>
                </c:pt>
                <c:pt idx="10">
                  <c:v>-27</c:v>
                </c:pt>
                <c:pt idx="11">
                  <c:v>-30</c:v>
                </c:pt>
                <c:pt idx="12">
                  <c:v>-30</c:v>
                </c:pt>
                <c:pt idx="13">
                  <c:v>24</c:v>
                </c:pt>
                <c:pt idx="14">
                  <c:v>80</c:v>
                </c:pt>
                <c:pt idx="15">
                  <c:v>135</c:v>
                </c:pt>
                <c:pt idx="16">
                  <c:v>208</c:v>
                </c:pt>
                <c:pt idx="17">
                  <c:v>159</c:v>
                </c:pt>
                <c:pt idx="18">
                  <c:v>159</c:v>
                </c:pt>
                <c:pt idx="19">
                  <c:v>146</c:v>
                </c:pt>
                <c:pt idx="20">
                  <c:v>325</c:v>
                </c:pt>
                <c:pt idx="21">
                  <c:v>279</c:v>
                </c:pt>
                <c:pt idx="22">
                  <c:v>176</c:v>
                </c:pt>
                <c:pt idx="23">
                  <c:v>221</c:v>
                </c:pt>
                <c:pt idx="24">
                  <c:v>422</c:v>
                </c:pt>
                <c:pt idx="25">
                  <c:v>397</c:v>
                </c:pt>
                <c:pt idx="26">
                  <c:v>409</c:v>
                </c:pt>
                <c:pt idx="27">
                  <c:v>423</c:v>
                </c:pt>
                <c:pt idx="28">
                  <c:v>256</c:v>
                </c:pt>
                <c:pt idx="29">
                  <c:v>19</c:v>
                </c:pt>
                <c:pt idx="30">
                  <c:v>19</c:v>
                </c:pt>
                <c:pt idx="31">
                  <c:v>-157</c:v>
                </c:pt>
                <c:pt idx="32">
                  <c:v>-268</c:v>
                </c:pt>
                <c:pt idx="33">
                  <c:v>-297</c:v>
                </c:pt>
                <c:pt idx="34">
                  <c:v>-24</c:v>
                </c:pt>
                <c:pt idx="35">
                  <c:v>-9</c:v>
                </c:pt>
                <c:pt idx="36">
                  <c:v>-204</c:v>
                </c:pt>
                <c:pt idx="37">
                  <c:v>-352</c:v>
                </c:pt>
                <c:pt idx="38">
                  <c:v>-196</c:v>
                </c:pt>
                <c:pt idx="39">
                  <c:v>-190</c:v>
                </c:pt>
                <c:pt idx="40">
                  <c:v>-259</c:v>
                </c:pt>
                <c:pt idx="41">
                  <c:v>-238</c:v>
                </c:pt>
                <c:pt idx="42">
                  <c:v>-179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8-49E0-82AE-FB8A8FCC9593}"/>
            </c:ext>
          </c:extLst>
        </c:ser>
        <c:ser>
          <c:idx val="1"/>
          <c:order val="1"/>
          <c:tx>
            <c:strRef>
              <c:f>期中純増減推移グラフ!$A$66</c:f>
              <c:strCache>
                <c:ptCount val="1"/>
                <c:pt idx="0">
                  <c:v>オートローン等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期中純増減推移グラフ!$B$64:$AR$64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期中純増減推移グラフ!$B$66:$AR$66</c:f>
              <c:numCache>
                <c:formatCode>#,##0_ 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3750</c:v>
                </c:pt>
                <c:pt idx="5">
                  <c:v>1874</c:v>
                </c:pt>
                <c:pt idx="6">
                  <c:v>2202</c:v>
                </c:pt>
                <c:pt idx="7">
                  <c:v>-102</c:v>
                </c:pt>
                <c:pt idx="8">
                  <c:v>293</c:v>
                </c:pt>
                <c:pt idx="9">
                  <c:v>81</c:v>
                </c:pt>
                <c:pt idx="10">
                  <c:v>192</c:v>
                </c:pt>
                <c:pt idx="11">
                  <c:v>392</c:v>
                </c:pt>
                <c:pt idx="12">
                  <c:v>-106</c:v>
                </c:pt>
                <c:pt idx="13">
                  <c:v>456</c:v>
                </c:pt>
                <c:pt idx="14">
                  <c:v>-244</c:v>
                </c:pt>
                <c:pt idx="15">
                  <c:v>-18</c:v>
                </c:pt>
                <c:pt idx="16">
                  <c:v>-90</c:v>
                </c:pt>
                <c:pt idx="17">
                  <c:v>292</c:v>
                </c:pt>
                <c:pt idx="18">
                  <c:v>-701</c:v>
                </c:pt>
                <c:pt idx="19">
                  <c:v>-94</c:v>
                </c:pt>
                <c:pt idx="20">
                  <c:v>-44</c:v>
                </c:pt>
                <c:pt idx="21">
                  <c:v>-123</c:v>
                </c:pt>
                <c:pt idx="22">
                  <c:v>-95</c:v>
                </c:pt>
                <c:pt idx="23">
                  <c:v>-91</c:v>
                </c:pt>
                <c:pt idx="24">
                  <c:v>-50</c:v>
                </c:pt>
                <c:pt idx="25">
                  <c:v>-21</c:v>
                </c:pt>
                <c:pt idx="26">
                  <c:v>-22</c:v>
                </c:pt>
                <c:pt idx="27">
                  <c:v>-12</c:v>
                </c:pt>
                <c:pt idx="28">
                  <c:v>11</c:v>
                </c:pt>
                <c:pt idx="29">
                  <c:v>14</c:v>
                </c:pt>
                <c:pt idx="30">
                  <c:v>12</c:v>
                </c:pt>
                <c:pt idx="31">
                  <c:v>143</c:v>
                </c:pt>
                <c:pt idx="32">
                  <c:v>158</c:v>
                </c:pt>
                <c:pt idx="33">
                  <c:v>37</c:v>
                </c:pt>
                <c:pt idx="34">
                  <c:v>-45</c:v>
                </c:pt>
                <c:pt idx="35">
                  <c:v>-42</c:v>
                </c:pt>
                <c:pt idx="36">
                  <c:v>-19</c:v>
                </c:pt>
                <c:pt idx="37">
                  <c:v>-44</c:v>
                </c:pt>
                <c:pt idx="38">
                  <c:v>-31</c:v>
                </c:pt>
                <c:pt idx="39">
                  <c:v>-16</c:v>
                </c:pt>
                <c:pt idx="40">
                  <c:v>-26</c:v>
                </c:pt>
                <c:pt idx="41">
                  <c:v>-24</c:v>
                </c:pt>
                <c:pt idx="42">
                  <c:v>-35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58-49E0-82AE-FB8A8FCC9593}"/>
            </c:ext>
          </c:extLst>
        </c:ser>
        <c:ser>
          <c:idx val="2"/>
          <c:order val="2"/>
          <c:tx>
            <c:strRef>
              <c:f>期中純増減推移グラフ!$A$67</c:f>
              <c:strCache>
                <c:ptCount val="1"/>
                <c:pt idx="0">
                  <c:v>不動産ローン等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期中純増減推移グラフ!$B$64:$AR$64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期中純増減推移グラフ!$B$67:$AR$67</c:f>
              <c:numCache>
                <c:formatCode>#,##0_ </c:formatCode>
                <c:ptCount val="43"/>
                <c:pt idx="0">
                  <c:v>-8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10</c:v>
                </c:pt>
                <c:pt idx="5">
                  <c:v>4</c:v>
                </c:pt>
                <c:pt idx="6">
                  <c:v>18</c:v>
                </c:pt>
                <c:pt idx="7">
                  <c:v>7</c:v>
                </c:pt>
                <c:pt idx="8">
                  <c:v>21</c:v>
                </c:pt>
                <c:pt idx="9">
                  <c:v>-16</c:v>
                </c:pt>
                <c:pt idx="10">
                  <c:v>-5</c:v>
                </c:pt>
                <c:pt idx="11">
                  <c:v>2</c:v>
                </c:pt>
                <c:pt idx="12">
                  <c:v>-6</c:v>
                </c:pt>
                <c:pt idx="13">
                  <c:v>-2</c:v>
                </c:pt>
                <c:pt idx="14">
                  <c:v>-7</c:v>
                </c:pt>
                <c:pt idx="15">
                  <c:v>-7</c:v>
                </c:pt>
                <c:pt idx="16">
                  <c:v>5</c:v>
                </c:pt>
                <c:pt idx="17">
                  <c:v>18</c:v>
                </c:pt>
                <c:pt idx="18">
                  <c:v>17</c:v>
                </c:pt>
                <c:pt idx="19">
                  <c:v>6</c:v>
                </c:pt>
                <c:pt idx="20">
                  <c:v>6</c:v>
                </c:pt>
                <c:pt idx="21">
                  <c:v>9</c:v>
                </c:pt>
                <c:pt idx="22">
                  <c:v>-12</c:v>
                </c:pt>
                <c:pt idx="23">
                  <c:v>16</c:v>
                </c:pt>
                <c:pt idx="24">
                  <c:v>21</c:v>
                </c:pt>
                <c:pt idx="25">
                  <c:v>-9</c:v>
                </c:pt>
                <c:pt idx="26">
                  <c:v>14</c:v>
                </c:pt>
                <c:pt idx="27">
                  <c:v>16</c:v>
                </c:pt>
                <c:pt idx="28">
                  <c:v>33</c:v>
                </c:pt>
                <c:pt idx="29">
                  <c:v>10</c:v>
                </c:pt>
                <c:pt idx="30">
                  <c:v>-10</c:v>
                </c:pt>
                <c:pt idx="31">
                  <c:v>-10</c:v>
                </c:pt>
                <c:pt idx="32">
                  <c:v>-11</c:v>
                </c:pt>
                <c:pt idx="33">
                  <c:v>-15</c:v>
                </c:pt>
                <c:pt idx="34">
                  <c:v>-20</c:v>
                </c:pt>
                <c:pt idx="35">
                  <c:v>-11</c:v>
                </c:pt>
                <c:pt idx="36">
                  <c:v>-19</c:v>
                </c:pt>
                <c:pt idx="37">
                  <c:v>-9</c:v>
                </c:pt>
                <c:pt idx="38">
                  <c:v>-1</c:v>
                </c:pt>
                <c:pt idx="39">
                  <c:v>-3</c:v>
                </c:pt>
                <c:pt idx="40">
                  <c:v>-2</c:v>
                </c:pt>
                <c:pt idx="41">
                  <c:v>-9</c:v>
                </c:pt>
                <c:pt idx="42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58-49E0-82AE-FB8A8FCC9593}"/>
            </c:ext>
          </c:extLst>
        </c:ser>
        <c:ser>
          <c:idx val="3"/>
          <c:order val="3"/>
          <c:tx>
            <c:strRef>
              <c:f>期中純増減推移グラフ!$A$68</c:f>
              <c:strCache>
                <c:ptCount val="1"/>
                <c:pt idx="0">
                  <c:v>火災共済貸付等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期中純増減推移グラフ!$B$64:$AR$64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期中純増減推移グラフ!$B$68:$AR$68</c:f>
              <c:numCache>
                <c:formatCode>#,##0_ </c:formatCode>
                <c:ptCount val="43"/>
                <c:pt idx="0">
                  <c:v>1</c:v>
                </c:pt>
                <c:pt idx="1">
                  <c:v>300</c:v>
                </c:pt>
                <c:pt idx="2">
                  <c:v>685</c:v>
                </c:pt>
                <c:pt idx="3">
                  <c:v>553</c:v>
                </c:pt>
                <c:pt idx="4">
                  <c:v>2852</c:v>
                </c:pt>
                <c:pt idx="5">
                  <c:v>908</c:v>
                </c:pt>
                <c:pt idx="6">
                  <c:v>1692</c:v>
                </c:pt>
                <c:pt idx="7">
                  <c:v>-286</c:v>
                </c:pt>
                <c:pt idx="8">
                  <c:v>-42</c:v>
                </c:pt>
                <c:pt idx="9">
                  <c:v>79</c:v>
                </c:pt>
                <c:pt idx="10">
                  <c:v>68</c:v>
                </c:pt>
                <c:pt idx="11">
                  <c:v>54</c:v>
                </c:pt>
                <c:pt idx="12">
                  <c:v>117</c:v>
                </c:pt>
                <c:pt idx="13">
                  <c:v>-7</c:v>
                </c:pt>
                <c:pt idx="14">
                  <c:v>-28</c:v>
                </c:pt>
                <c:pt idx="15">
                  <c:v>1</c:v>
                </c:pt>
                <c:pt idx="16">
                  <c:v>-52</c:v>
                </c:pt>
                <c:pt idx="17">
                  <c:v>-57</c:v>
                </c:pt>
                <c:pt idx="18">
                  <c:v>-14</c:v>
                </c:pt>
                <c:pt idx="19">
                  <c:v>-36</c:v>
                </c:pt>
                <c:pt idx="20">
                  <c:v>45</c:v>
                </c:pt>
                <c:pt idx="21">
                  <c:v>42</c:v>
                </c:pt>
                <c:pt idx="22">
                  <c:v>-10</c:v>
                </c:pt>
                <c:pt idx="23">
                  <c:v>9</c:v>
                </c:pt>
                <c:pt idx="24">
                  <c:v>41</c:v>
                </c:pt>
                <c:pt idx="25">
                  <c:v>-4</c:v>
                </c:pt>
                <c:pt idx="26">
                  <c:v>-14</c:v>
                </c:pt>
                <c:pt idx="27">
                  <c:v>-18</c:v>
                </c:pt>
                <c:pt idx="28">
                  <c:v>47</c:v>
                </c:pt>
                <c:pt idx="29">
                  <c:v>46</c:v>
                </c:pt>
                <c:pt idx="30">
                  <c:v>9</c:v>
                </c:pt>
                <c:pt idx="31">
                  <c:v>39</c:v>
                </c:pt>
                <c:pt idx="32">
                  <c:v>-26</c:v>
                </c:pt>
                <c:pt idx="33">
                  <c:v>23</c:v>
                </c:pt>
                <c:pt idx="34">
                  <c:v>50</c:v>
                </c:pt>
                <c:pt idx="35">
                  <c:v>47</c:v>
                </c:pt>
                <c:pt idx="36">
                  <c:v>9</c:v>
                </c:pt>
                <c:pt idx="37">
                  <c:v>-25</c:v>
                </c:pt>
                <c:pt idx="38">
                  <c:v>-40</c:v>
                </c:pt>
                <c:pt idx="39">
                  <c:v>-28</c:v>
                </c:pt>
                <c:pt idx="40">
                  <c:v>-2</c:v>
                </c:pt>
                <c:pt idx="41">
                  <c:v>-46</c:v>
                </c:pt>
                <c:pt idx="42">
                  <c:v>-50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58-49E0-82AE-FB8A8FCC9593}"/>
            </c:ext>
          </c:extLst>
        </c:ser>
        <c:ser>
          <c:idx val="4"/>
          <c:order val="4"/>
          <c:tx>
            <c:strRef>
              <c:f>期中純増減推移グラフ!$A$69</c:f>
              <c:strCache>
                <c:ptCount val="1"/>
                <c:pt idx="0">
                  <c:v>共済会ローン等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期中純増減推移グラフ!$B$64:$AR$64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期中純増減推移グラフ!$B$69:$AR$69</c:f>
              <c:numCache>
                <c:formatCode>#,##0_ 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3005</c:v>
                </c:pt>
                <c:pt idx="10">
                  <c:v>20</c:v>
                </c:pt>
                <c:pt idx="11">
                  <c:v>237</c:v>
                </c:pt>
                <c:pt idx="12">
                  <c:v>-435</c:v>
                </c:pt>
                <c:pt idx="13">
                  <c:v>-20</c:v>
                </c:pt>
                <c:pt idx="14">
                  <c:v>-309</c:v>
                </c:pt>
                <c:pt idx="15">
                  <c:v>289</c:v>
                </c:pt>
                <c:pt idx="16">
                  <c:v>-314</c:v>
                </c:pt>
                <c:pt idx="17">
                  <c:v>152</c:v>
                </c:pt>
                <c:pt idx="18">
                  <c:v>-41</c:v>
                </c:pt>
                <c:pt idx="19">
                  <c:v>-567</c:v>
                </c:pt>
                <c:pt idx="20">
                  <c:v>-1931</c:v>
                </c:pt>
                <c:pt idx="21">
                  <c:v>-22</c:v>
                </c:pt>
                <c:pt idx="22">
                  <c:v>-21</c:v>
                </c:pt>
                <c:pt idx="23">
                  <c:v>-18</c:v>
                </c:pt>
                <c:pt idx="24">
                  <c:v>-11</c:v>
                </c:pt>
                <c:pt idx="25">
                  <c:v>-10</c:v>
                </c:pt>
                <c:pt idx="26">
                  <c:v>-8</c:v>
                </c:pt>
                <c:pt idx="27">
                  <c:v>-2</c:v>
                </c:pt>
                <c:pt idx="28">
                  <c:v>-6</c:v>
                </c:pt>
                <c:pt idx="29">
                  <c:v>-1</c:v>
                </c:pt>
                <c:pt idx="30">
                  <c:v>-5</c:v>
                </c:pt>
                <c:pt idx="31">
                  <c:v>-3</c:v>
                </c:pt>
                <c:pt idx="32">
                  <c:v>-3</c:v>
                </c:pt>
                <c:pt idx="33">
                  <c:v>-6</c:v>
                </c:pt>
                <c:pt idx="34">
                  <c:v>0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-1</c:v>
                </c:pt>
                <c:pt idx="39">
                  <c:v>-3</c:v>
                </c:pt>
                <c:pt idx="40">
                  <c:v>0</c:v>
                </c:pt>
                <c:pt idx="41">
                  <c:v>-2</c:v>
                </c:pt>
                <c:pt idx="42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58-49E0-82AE-FB8A8FCC9593}"/>
            </c:ext>
          </c:extLst>
        </c:ser>
        <c:ser>
          <c:idx val="5"/>
          <c:order val="5"/>
          <c:tx>
            <c:strRef>
              <c:f>期中純増減推移グラフ!$A$70</c:f>
              <c:strCache>
                <c:ptCount val="1"/>
                <c:pt idx="0">
                  <c:v>生活支援ローン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期中純増減推移グラフ!$B$64:$AR$64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期中純増減推移グラフ!$B$70:$AR$70</c:f>
              <c:numCache>
                <c:formatCode>#,##0_ 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</c:v>
                </c:pt>
                <c:pt idx="33">
                  <c:v>7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-3</c:v>
                </c:pt>
                <c:pt idx="40">
                  <c:v>-4</c:v>
                </c:pt>
                <c:pt idx="41">
                  <c:v>-1</c:v>
                </c:pt>
                <c:pt idx="4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58-49E0-82AE-FB8A8FCC9593}"/>
            </c:ext>
          </c:extLst>
        </c:ser>
        <c:ser>
          <c:idx val="6"/>
          <c:order val="6"/>
          <c:tx>
            <c:strRef>
              <c:f>期中純増減推移グラフ!$A$71</c:f>
              <c:strCache>
                <c:ptCount val="1"/>
                <c:pt idx="0">
                  <c:v>有価証券貸付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期中純増減推移グラフ!$B$64:$AR$64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期中純増減推移グラフ!$B$71:$AR$71</c:f>
              <c:numCache>
                <c:formatCode>#,##0_ </c:formatCode>
                <c:ptCount val="43"/>
                <c:pt idx="0">
                  <c:v>-20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58-49E0-82AE-FB8A8FCC9593}"/>
            </c:ext>
          </c:extLst>
        </c:ser>
        <c:ser>
          <c:idx val="7"/>
          <c:order val="7"/>
          <c:tx>
            <c:strRef>
              <c:f>期中純増減推移グラフ!$A$72</c:f>
              <c:strCache>
                <c:ptCount val="1"/>
                <c:pt idx="0">
                  <c:v>厚生貸付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期中純増減推移グラフ!$B$64:$AR$64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期中純増減推移グラフ!$B$72:$AR$72</c:f>
              <c:numCache>
                <c:formatCode>#,##0_ </c:formatCode>
                <c:ptCount val="4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858-49E0-82AE-FB8A8FCC9593}"/>
            </c:ext>
          </c:extLst>
        </c:ser>
        <c:ser>
          <c:idx val="8"/>
          <c:order val="8"/>
          <c:tx>
            <c:strRef>
              <c:f>期中純増減推移グラフ!$A$73</c:f>
              <c:strCache>
                <c:ptCount val="1"/>
                <c:pt idx="0">
                  <c:v>動産担保貸付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期中純増減推移グラフ!$B$64:$AR$64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期中純増減推移グラフ!$B$73:$AR$73</c:f>
              <c:numCache>
                <c:formatCode>#,##0_ 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858-49E0-82AE-FB8A8FCC9593}"/>
            </c:ext>
          </c:extLst>
        </c:ser>
        <c:ser>
          <c:idx val="9"/>
          <c:order val="9"/>
          <c:tx>
            <c:strRef>
              <c:f>期中純増減推移グラフ!$A$74</c:f>
              <c:strCache>
                <c:ptCount val="1"/>
                <c:pt idx="0">
                  <c:v>会員厚生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期中純増減推移グラフ!$B$64:$AR$64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期中純増減推移グラフ!$B$74:$AR$74</c:f>
              <c:numCache>
                <c:formatCode>#,##0_ 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32</c:v>
                </c:pt>
                <c:pt idx="12">
                  <c:v>-1</c:v>
                </c:pt>
                <c:pt idx="13">
                  <c:v>-5</c:v>
                </c:pt>
                <c:pt idx="14">
                  <c:v>-5</c:v>
                </c:pt>
                <c:pt idx="15">
                  <c:v>3</c:v>
                </c:pt>
                <c:pt idx="16">
                  <c:v>-6</c:v>
                </c:pt>
                <c:pt idx="17">
                  <c:v>-3</c:v>
                </c:pt>
                <c:pt idx="18">
                  <c:v>-4</c:v>
                </c:pt>
                <c:pt idx="19">
                  <c:v>-3</c:v>
                </c:pt>
                <c:pt idx="20">
                  <c:v>-3</c:v>
                </c:pt>
                <c:pt idx="21">
                  <c:v>-17</c:v>
                </c:pt>
                <c:pt idx="22">
                  <c:v>-6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858-49E0-82AE-FB8A8FCC9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4480016"/>
        <c:axId val="524480344"/>
      </c:barChart>
      <c:catAx>
        <c:axId val="52448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4480344"/>
        <c:crosses val="autoZero"/>
        <c:auto val="1"/>
        <c:lblAlgn val="ctr"/>
        <c:lblOffset val="100"/>
        <c:noMultiLvlLbl val="0"/>
      </c:catAx>
      <c:valAx>
        <c:axId val="524480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448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ローン種類別貸付金額　期中純増減（単位：円）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期中純増減推移グラフ!$A$148</c:f>
              <c:strCache>
                <c:ptCount val="1"/>
                <c:pt idx="0">
                  <c:v>無担保ローン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期中純増減推移グラフ!$B$147:$AR$147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期中純増減推移グラフ!$B$148:$AR$148</c:f>
              <c:numCache>
                <c:formatCode>#,##0_ </c:formatCode>
                <c:ptCount val="43"/>
                <c:pt idx="0">
                  <c:v>-1046800</c:v>
                </c:pt>
                <c:pt idx="1">
                  <c:v>6000000</c:v>
                </c:pt>
                <c:pt idx="2">
                  <c:v>3580000</c:v>
                </c:pt>
                <c:pt idx="3">
                  <c:v>4700000</c:v>
                </c:pt>
                <c:pt idx="4">
                  <c:v>997000</c:v>
                </c:pt>
                <c:pt idx="5">
                  <c:v>-1326100</c:v>
                </c:pt>
                <c:pt idx="6">
                  <c:v>-863000</c:v>
                </c:pt>
                <c:pt idx="7">
                  <c:v>11977826</c:v>
                </c:pt>
                <c:pt idx="8">
                  <c:v>10617638</c:v>
                </c:pt>
                <c:pt idx="9">
                  <c:v>273000</c:v>
                </c:pt>
                <c:pt idx="10">
                  <c:v>-6206299</c:v>
                </c:pt>
                <c:pt idx="11">
                  <c:v>-7874625</c:v>
                </c:pt>
                <c:pt idx="12">
                  <c:v>-9442043</c:v>
                </c:pt>
                <c:pt idx="13">
                  <c:v>62033751</c:v>
                </c:pt>
                <c:pt idx="14">
                  <c:v>149872717</c:v>
                </c:pt>
                <c:pt idx="15">
                  <c:v>271984285</c:v>
                </c:pt>
                <c:pt idx="16">
                  <c:v>404879977</c:v>
                </c:pt>
                <c:pt idx="17">
                  <c:v>318361461</c:v>
                </c:pt>
                <c:pt idx="18">
                  <c:v>315688707</c:v>
                </c:pt>
                <c:pt idx="19">
                  <c:v>238209320</c:v>
                </c:pt>
                <c:pt idx="20">
                  <c:v>581292656</c:v>
                </c:pt>
                <c:pt idx="21">
                  <c:v>423908901</c:v>
                </c:pt>
                <c:pt idx="22">
                  <c:v>243519556</c:v>
                </c:pt>
                <c:pt idx="23">
                  <c:v>410521707</c:v>
                </c:pt>
                <c:pt idx="24">
                  <c:v>796441774</c:v>
                </c:pt>
                <c:pt idx="25">
                  <c:v>747646784</c:v>
                </c:pt>
                <c:pt idx="26">
                  <c:v>754235745</c:v>
                </c:pt>
                <c:pt idx="27">
                  <c:v>560742684</c:v>
                </c:pt>
                <c:pt idx="28">
                  <c:v>197795854</c:v>
                </c:pt>
                <c:pt idx="29">
                  <c:v>-213276811</c:v>
                </c:pt>
                <c:pt idx="30">
                  <c:v>-293105388</c:v>
                </c:pt>
                <c:pt idx="31">
                  <c:v>-387154506</c:v>
                </c:pt>
                <c:pt idx="32">
                  <c:v>-889199680</c:v>
                </c:pt>
                <c:pt idx="33">
                  <c:v>-689855526</c:v>
                </c:pt>
                <c:pt idx="34">
                  <c:v>-345299388</c:v>
                </c:pt>
                <c:pt idx="35">
                  <c:v>-366826818</c:v>
                </c:pt>
                <c:pt idx="36">
                  <c:v>-438608091</c:v>
                </c:pt>
                <c:pt idx="37">
                  <c:v>-490220564</c:v>
                </c:pt>
                <c:pt idx="38">
                  <c:v>-296778735</c:v>
                </c:pt>
                <c:pt idx="39">
                  <c:v>-246282580</c:v>
                </c:pt>
                <c:pt idx="40">
                  <c:v>-252984348</c:v>
                </c:pt>
                <c:pt idx="41">
                  <c:v>-239581418</c:v>
                </c:pt>
                <c:pt idx="42">
                  <c:v>-102166340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6-44DB-AC80-64F935A5D3FA}"/>
            </c:ext>
          </c:extLst>
        </c:ser>
        <c:ser>
          <c:idx val="1"/>
          <c:order val="1"/>
          <c:tx>
            <c:strRef>
              <c:f>期中純増減推移グラフ!$A$149</c:f>
              <c:strCache>
                <c:ptCount val="1"/>
                <c:pt idx="0">
                  <c:v>オートローン等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期中純増減推移グラフ!$B$147:$AR$147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期中純増減推移グラフ!$B$149:$AR$149</c:f>
              <c:numCache>
                <c:formatCode>#,##0_ 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43798000</c:v>
                </c:pt>
                <c:pt idx="5">
                  <c:v>2185327</c:v>
                </c:pt>
                <c:pt idx="6">
                  <c:v>2147379</c:v>
                </c:pt>
                <c:pt idx="7">
                  <c:v>-952503</c:v>
                </c:pt>
                <c:pt idx="8">
                  <c:v>7789095</c:v>
                </c:pt>
                <c:pt idx="9">
                  <c:v>-17674000</c:v>
                </c:pt>
                <c:pt idx="10">
                  <c:v>-391456</c:v>
                </c:pt>
                <c:pt idx="11">
                  <c:v>46261219</c:v>
                </c:pt>
                <c:pt idx="12">
                  <c:v>86940217</c:v>
                </c:pt>
                <c:pt idx="13">
                  <c:v>75639972</c:v>
                </c:pt>
                <c:pt idx="14">
                  <c:v>72486058</c:v>
                </c:pt>
                <c:pt idx="15">
                  <c:v>-23378346</c:v>
                </c:pt>
                <c:pt idx="16">
                  <c:v>-84081832</c:v>
                </c:pt>
                <c:pt idx="17">
                  <c:v>-112809127</c:v>
                </c:pt>
                <c:pt idx="18">
                  <c:v>-63724357</c:v>
                </c:pt>
                <c:pt idx="19">
                  <c:v>-35253914</c:v>
                </c:pt>
                <c:pt idx="20">
                  <c:v>-26421017</c:v>
                </c:pt>
                <c:pt idx="21">
                  <c:v>-31311274</c:v>
                </c:pt>
                <c:pt idx="22">
                  <c:v>-12311020</c:v>
                </c:pt>
                <c:pt idx="23">
                  <c:v>-14031474</c:v>
                </c:pt>
                <c:pt idx="24">
                  <c:v>-4049561</c:v>
                </c:pt>
                <c:pt idx="25">
                  <c:v>-2871212</c:v>
                </c:pt>
                <c:pt idx="26">
                  <c:v>-5738155</c:v>
                </c:pt>
                <c:pt idx="27">
                  <c:v>-12125201</c:v>
                </c:pt>
                <c:pt idx="28">
                  <c:v>8360666</c:v>
                </c:pt>
                <c:pt idx="29">
                  <c:v>8652961</c:v>
                </c:pt>
                <c:pt idx="30">
                  <c:v>11894597</c:v>
                </c:pt>
                <c:pt idx="31">
                  <c:v>90291668</c:v>
                </c:pt>
                <c:pt idx="32">
                  <c:v>83345572</c:v>
                </c:pt>
                <c:pt idx="33">
                  <c:v>21980177</c:v>
                </c:pt>
                <c:pt idx="34">
                  <c:v>-12085776</c:v>
                </c:pt>
                <c:pt idx="35">
                  <c:v>18129158</c:v>
                </c:pt>
                <c:pt idx="36">
                  <c:v>5815858</c:v>
                </c:pt>
                <c:pt idx="37">
                  <c:v>-25161167</c:v>
                </c:pt>
                <c:pt idx="38">
                  <c:v>-1678184</c:v>
                </c:pt>
                <c:pt idx="39">
                  <c:v>-1873901</c:v>
                </c:pt>
                <c:pt idx="40">
                  <c:v>-42165907</c:v>
                </c:pt>
                <c:pt idx="41">
                  <c:v>-21532808</c:v>
                </c:pt>
                <c:pt idx="42">
                  <c:v>-23385146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6-44DB-AC80-64F935A5D3FA}"/>
            </c:ext>
          </c:extLst>
        </c:ser>
        <c:ser>
          <c:idx val="2"/>
          <c:order val="2"/>
          <c:tx>
            <c:strRef>
              <c:f>期中純増減推移グラフ!$A$150</c:f>
              <c:strCache>
                <c:ptCount val="1"/>
                <c:pt idx="0">
                  <c:v>不動産ローン等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期中純増減推移グラフ!$B$147:$AR$147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期中純増減推移グラフ!$B$150:$AR$150</c:f>
              <c:numCache>
                <c:formatCode>#,##0_ </c:formatCode>
                <c:ptCount val="43"/>
                <c:pt idx="0">
                  <c:v>26649773</c:v>
                </c:pt>
                <c:pt idx="1">
                  <c:v>15000000</c:v>
                </c:pt>
                <c:pt idx="2">
                  <c:v>6700000</c:v>
                </c:pt>
                <c:pt idx="3">
                  <c:v>27990000</c:v>
                </c:pt>
                <c:pt idx="4">
                  <c:v>10025000</c:v>
                </c:pt>
                <c:pt idx="5">
                  <c:v>2611557</c:v>
                </c:pt>
                <c:pt idx="6">
                  <c:v>4310978</c:v>
                </c:pt>
                <c:pt idx="7">
                  <c:v>18119769</c:v>
                </c:pt>
                <c:pt idx="8">
                  <c:v>59227726</c:v>
                </c:pt>
                <c:pt idx="9">
                  <c:v>-3299000</c:v>
                </c:pt>
                <c:pt idx="10">
                  <c:v>-100287419</c:v>
                </c:pt>
                <c:pt idx="11">
                  <c:v>14149455</c:v>
                </c:pt>
                <c:pt idx="12">
                  <c:v>-18596783</c:v>
                </c:pt>
                <c:pt idx="13">
                  <c:v>40164972</c:v>
                </c:pt>
                <c:pt idx="14">
                  <c:v>-7425293</c:v>
                </c:pt>
                <c:pt idx="15">
                  <c:v>48853623</c:v>
                </c:pt>
                <c:pt idx="16">
                  <c:v>106317585</c:v>
                </c:pt>
                <c:pt idx="17">
                  <c:v>178660658</c:v>
                </c:pt>
                <c:pt idx="18">
                  <c:v>116812743</c:v>
                </c:pt>
                <c:pt idx="19">
                  <c:v>16230663</c:v>
                </c:pt>
                <c:pt idx="20">
                  <c:v>12966523</c:v>
                </c:pt>
                <c:pt idx="21">
                  <c:v>64630984</c:v>
                </c:pt>
                <c:pt idx="22">
                  <c:v>-95250057</c:v>
                </c:pt>
                <c:pt idx="23">
                  <c:v>115167248</c:v>
                </c:pt>
                <c:pt idx="24">
                  <c:v>17189294</c:v>
                </c:pt>
                <c:pt idx="25">
                  <c:v>-70338002</c:v>
                </c:pt>
                <c:pt idx="26">
                  <c:v>133523029</c:v>
                </c:pt>
                <c:pt idx="27">
                  <c:v>102233226</c:v>
                </c:pt>
                <c:pt idx="28">
                  <c:v>208332093</c:v>
                </c:pt>
                <c:pt idx="29">
                  <c:v>41444593</c:v>
                </c:pt>
                <c:pt idx="30">
                  <c:v>-96979666</c:v>
                </c:pt>
                <c:pt idx="31">
                  <c:v>-98200329</c:v>
                </c:pt>
                <c:pt idx="32">
                  <c:v>-85965090</c:v>
                </c:pt>
                <c:pt idx="33">
                  <c:v>-113860975</c:v>
                </c:pt>
                <c:pt idx="34">
                  <c:v>-117174496</c:v>
                </c:pt>
                <c:pt idx="35">
                  <c:v>-86454903</c:v>
                </c:pt>
                <c:pt idx="36">
                  <c:v>-71844078</c:v>
                </c:pt>
                <c:pt idx="37">
                  <c:v>-44304158</c:v>
                </c:pt>
                <c:pt idx="38">
                  <c:v>-31442940</c:v>
                </c:pt>
                <c:pt idx="39">
                  <c:v>-38091341</c:v>
                </c:pt>
                <c:pt idx="40">
                  <c:v>-20035888</c:v>
                </c:pt>
                <c:pt idx="41">
                  <c:v>-44516133</c:v>
                </c:pt>
                <c:pt idx="42">
                  <c:v>-25656501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66-44DB-AC80-64F935A5D3FA}"/>
            </c:ext>
          </c:extLst>
        </c:ser>
        <c:ser>
          <c:idx val="3"/>
          <c:order val="3"/>
          <c:tx>
            <c:strRef>
              <c:f>期中純増減推移グラフ!$A$151</c:f>
              <c:strCache>
                <c:ptCount val="1"/>
                <c:pt idx="0">
                  <c:v>火災共済貸付等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期中純増減推移グラフ!$B$147:$AR$147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期中純増減推移グラフ!$B$151:$AR$151</c:f>
              <c:numCache>
                <c:formatCode>#,##0_ </c:formatCode>
                <c:ptCount val="43"/>
                <c:pt idx="0">
                  <c:v>204000</c:v>
                </c:pt>
                <c:pt idx="1">
                  <c:v>17000000</c:v>
                </c:pt>
                <c:pt idx="2">
                  <c:v>18069910</c:v>
                </c:pt>
                <c:pt idx="3">
                  <c:v>23605235</c:v>
                </c:pt>
                <c:pt idx="4">
                  <c:v>65892000</c:v>
                </c:pt>
                <c:pt idx="5">
                  <c:v>-13905540</c:v>
                </c:pt>
                <c:pt idx="6">
                  <c:v>-2507764</c:v>
                </c:pt>
                <c:pt idx="7">
                  <c:v>-7092081</c:v>
                </c:pt>
                <c:pt idx="8">
                  <c:v>-7892365</c:v>
                </c:pt>
                <c:pt idx="9">
                  <c:v>19104000</c:v>
                </c:pt>
                <c:pt idx="10">
                  <c:v>43651560</c:v>
                </c:pt>
                <c:pt idx="11">
                  <c:v>39591606</c:v>
                </c:pt>
                <c:pt idx="12">
                  <c:v>114458711</c:v>
                </c:pt>
                <c:pt idx="13">
                  <c:v>1199215</c:v>
                </c:pt>
                <c:pt idx="14">
                  <c:v>28200392</c:v>
                </c:pt>
                <c:pt idx="15">
                  <c:v>-3773335</c:v>
                </c:pt>
                <c:pt idx="16">
                  <c:v>-45797142</c:v>
                </c:pt>
                <c:pt idx="17">
                  <c:v>-52236098</c:v>
                </c:pt>
                <c:pt idx="18">
                  <c:v>-7577323</c:v>
                </c:pt>
                <c:pt idx="19">
                  <c:v>-27494509</c:v>
                </c:pt>
                <c:pt idx="20">
                  <c:v>30211243</c:v>
                </c:pt>
                <c:pt idx="21">
                  <c:v>18618334</c:v>
                </c:pt>
                <c:pt idx="22">
                  <c:v>-3304344</c:v>
                </c:pt>
                <c:pt idx="23">
                  <c:v>12885568</c:v>
                </c:pt>
                <c:pt idx="24">
                  <c:v>31165596</c:v>
                </c:pt>
                <c:pt idx="25">
                  <c:v>-17492035</c:v>
                </c:pt>
                <c:pt idx="26">
                  <c:v>-2055029</c:v>
                </c:pt>
                <c:pt idx="27">
                  <c:v>325168</c:v>
                </c:pt>
                <c:pt idx="28">
                  <c:v>948941</c:v>
                </c:pt>
                <c:pt idx="29">
                  <c:v>31900754</c:v>
                </c:pt>
                <c:pt idx="30">
                  <c:v>4752312</c:v>
                </c:pt>
                <c:pt idx="31">
                  <c:v>47245173</c:v>
                </c:pt>
                <c:pt idx="32">
                  <c:v>-56247539</c:v>
                </c:pt>
                <c:pt idx="33">
                  <c:v>15296251</c:v>
                </c:pt>
                <c:pt idx="34">
                  <c:v>82167144</c:v>
                </c:pt>
                <c:pt idx="35">
                  <c:v>62761806</c:v>
                </c:pt>
                <c:pt idx="36">
                  <c:v>35417219</c:v>
                </c:pt>
                <c:pt idx="37">
                  <c:v>-81500</c:v>
                </c:pt>
                <c:pt idx="38">
                  <c:v>-16118817</c:v>
                </c:pt>
                <c:pt idx="39">
                  <c:v>-42647411</c:v>
                </c:pt>
                <c:pt idx="40">
                  <c:v>-44192422</c:v>
                </c:pt>
                <c:pt idx="41">
                  <c:v>-51878716</c:v>
                </c:pt>
                <c:pt idx="42">
                  <c:v>-52940713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66-44DB-AC80-64F935A5D3FA}"/>
            </c:ext>
          </c:extLst>
        </c:ser>
        <c:ser>
          <c:idx val="4"/>
          <c:order val="4"/>
          <c:tx>
            <c:strRef>
              <c:f>期中純増減推移グラフ!$A$152</c:f>
              <c:strCache>
                <c:ptCount val="1"/>
                <c:pt idx="0">
                  <c:v>共済会ローン等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期中純増減推移グラフ!$B$147:$AR$147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期中純増減推移グラフ!$B$152:$AR$152</c:f>
              <c:numCache>
                <c:formatCode>#,##0_ 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-548000</c:v>
                </c:pt>
                <c:pt idx="10">
                  <c:v>-4021410</c:v>
                </c:pt>
                <c:pt idx="11">
                  <c:v>323913331</c:v>
                </c:pt>
                <c:pt idx="12">
                  <c:v>-8330011</c:v>
                </c:pt>
                <c:pt idx="13">
                  <c:v>8321676</c:v>
                </c:pt>
                <c:pt idx="14">
                  <c:v>-9670179</c:v>
                </c:pt>
                <c:pt idx="15">
                  <c:v>12355629</c:v>
                </c:pt>
                <c:pt idx="16">
                  <c:v>-36816414</c:v>
                </c:pt>
                <c:pt idx="17">
                  <c:v>-4249112</c:v>
                </c:pt>
                <c:pt idx="18">
                  <c:v>-34644114</c:v>
                </c:pt>
                <c:pt idx="19">
                  <c:v>-53102705</c:v>
                </c:pt>
                <c:pt idx="20">
                  <c:v>-25611545</c:v>
                </c:pt>
                <c:pt idx="21">
                  <c:v>-34454835</c:v>
                </c:pt>
                <c:pt idx="22">
                  <c:v>-31711681</c:v>
                </c:pt>
                <c:pt idx="23">
                  <c:v>-38823884</c:v>
                </c:pt>
                <c:pt idx="24">
                  <c:v>-8080807</c:v>
                </c:pt>
                <c:pt idx="25">
                  <c:v>-13346638</c:v>
                </c:pt>
                <c:pt idx="26">
                  <c:v>-12993612</c:v>
                </c:pt>
                <c:pt idx="27">
                  <c:v>-10441646</c:v>
                </c:pt>
                <c:pt idx="28">
                  <c:v>-11167022</c:v>
                </c:pt>
                <c:pt idx="29">
                  <c:v>42744</c:v>
                </c:pt>
                <c:pt idx="30">
                  <c:v>175708</c:v>
                </c:pt>
                <c:pt idx="31">
                  <c:v>-2648628</c:v>
                </c:pt>
                <c:pt idx="32">
                  <c:v>-9793988</c:v>
                </c:pt>
                <c:pt idx="33">
                  <c:v>-7120306</c:v>
                </c:pt>
                <c:pt idx="34">
                  <c:v>-1101648</c:v>
                </c:pt>
                <c:pt idx="35">
                  <c:v>-5147225</c:v>
                </c:pt>
                <c:pt idx="36">
                  <c:v>-4261478</c:v>
                </c:pt>
                <c:pt idx="37">
                  <c:v>-2970809</c:v>
                </c:pt>
                <c:pt idx="38">
                  <c:v>-2712804</c:v>
                </c:pt>
                <c:pt idx="39">
                  <c:v>-2847128</c:v>
                </c:pt>
                <c:pt idx="40">
                  <c:v>-885937</c:v>
                </c:pt>
                <c:pt idx="41">
                  <c:v>-641397</c:v>
                </c:pt>
                <c:pt idx="42">
                  <c:v>-2397680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66-44DB-AC80-64F935A5D3FA}"/>
            </c:ext>
          </c:extLst>
        </c:ser>
        <c:ser>
          <c:idx val="5"/>
          <c:order val="5"/>
          <c:tx>
            <c:strRef>
              <c:f>期中純増減推移グラフ!$A$153</c:f>
              <c:strCache>
                <c:ptCount val="1"/>
                <c:pt idx="0">
                  <c:v>生活支援ローン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期中純増減推移グラフ!$B$147:$AR$147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期中純増減推移グラフ!$B$153:$AR$153</c:f>
              <c:numCache>
                <c:formatCode>#,##0_ 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10301102</c:v>
                </c:pt>
                <c:pt idx="33">
                  <c:v>9119583</c:v>
                </c:pt>
                <c:pt idx="34">
                  <c:v>10012186</c:v>
                </c:pt>
                <c:pt idx="35">
                  <c:v>-4136819</c:v>
                </c:pt>
                <c:pt idx="36">
                  <c:v>1910989</c:v>
                </c:pt>
                <c:pt idx="37">
                  <c:v>-2589213</c:v>
                </c:pt>
                <c:pt idx="38">
                  <c:v>-176387</c:v>
                </c:pt>
                <c:pt idx="39">
                  <c:v>-2840903</c:v>
                </c:pt>
                <c:pt idx="40">
                  <c:v>-5438412</c:v>
                </c:pt>
                <c:pt idx="41">
                  <c:v>-3542227</c:v>
                </c:pt>
                <c:pt idx="42">
                  <c:v>1958631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66-44DB-AC80-64F935A5D3FA}"/>
            </c:ext>
          </c:extLst>
        </c:ser>
        <c:ser>
          <c:idx val="6"/>
          <c:order val="6"/>
          <c:tx>
            <c:strRef>
              <c:f>期中純増減推移グラフ!$A$154</c:f>
              <c:strCache>
                <c:ptCount val="1"/>
                <c:pt idx="0">
                  <c:v>有価証券貸付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期中純増減推移グラフ!$B$147:$AR$147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期中純増減推移グラフ!$B$154:$AR$154</c:f>
              <c:numCache>
                <c:formatCode>#,##0_ </c:formatCode>
                <c:ptCount val="43"/>
                <c:pt idx="0">
                  <c:v>-1475167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1261066</c:v>
                </c:pt>
                <c:pt idx="7">
                  <c:v>1454313</c:v>
                </c:pt>
                <c:pt idx="8">
                  <c:v>1000000</c:v>
                </c:pt>
                <c:pt idx="9">
                  <c:v>-456000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66-44DB-AC80-64F935A5D3FA}"/>
            </c:ext>
          </c:extLst>
        </c:ser>
        <c:ser>
          <c:idx val="7"/>
          <c:order val="7"/>
          <c:tx>
            <c:strRef>
              <c:f>期中純増減推移グラフ!$A$155</c:f>
              <c:strCache>
                <c:ptCount val="1"/>
                <c:pt idx="0">
                  <c:v>厚生貸付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期中純増減推移グラフ!$B$147:$AR$147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期中純増減推移グラフ!$B$155:$AR$155</c:f>
              <c:numCache>
                <c:formatCode>#,##0_ </c:formatCode>
                <c:ptCount val="43"/>
                <c:pt idx="0">
                  <c:v>0</c:v>
                </c:pt>
                <c:pt idx="1">
                  <c:v>3231000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66-44DB-AC80-64F935A5D3FA}"/>
            </c:ext>
          </c:extLst>
        </c:ser>
        <c:ser>
          <c:idx val="8"/>
          <c:order val="8"/>
          <c:tx>
            <c:strRef>
              <c:f>期中純増減推移グラフ!$A$156</c:f>
              <c:strCache>
                <c:ptCount val="1"/>
                <c:pt idx="0">
                  <c:v>動産担保貸付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期中純増減推移グラフ!$B$147:$AR$147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期中純増減推移グラフ!$B$156:$AR$156</c:f>
              <c:numCache>
                <c:formatCode>#,##0_ 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1772300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66-44DB-AC80-64F935A5D3FA}"/>
            </c:ext>
          </c:extLst>
        </c:ser>
        <c:ser>
          <c:idx val="9"/>
          <c:order val="9"/>
          <c:tx>
            <c:strRef>
              <c:f>期中純増減推移グラフ!$A$157</c:f>
              <c:strCache>
                <c:ptCount val="1"/>
                <c:pt idx="0">
                  <c:v>会員厚生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期中純増減推移グラフ!$B$147:$AR$147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期中純増減推移グラフ!$B$157:$AR$157</c:f>
              <c:numCache>
                <c:formatCode>#,##0_ 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7093000</c:v>
                </c:pt>
                <c:pt idx="10">
                  <c:v>5011365</c:v>
                </c:pt>
                <c:pt idx="11">
                  <c:v>13102971</c:v>
                </c:pt>
                <c:pt idx="12">
                  <c:v>5783401</c:v>
                </c:pt>
                <c:pt idx="13">
                  <c:v>1251186</c:v>
                </c:pt>
                <c:pt idx="14">
                  <c:v>4479976</c:v>
                </c:pt>
                <c:pt idx="15">
                  <c:v>9612303</c:v>
                </c:pt>
                <c:pt idx="16">
                  <c:v>-20108962</c:v>
                </c:pt>
                <c:pt idx="17">
                  <c:v>3039399</c:v>
                </c:pt>
                <c:pt idx="18">
                  <c:v>41537038</c:v>
                </c:pt>
                <c:pt idx="19">
                  <c:v>-10978813</c:v>
                </c:pt>
                <c:pt idx="20">
                  <c:v>-51186468</c:v>
                </c:pt>
                <c:pt idx="21">
                  <c:v>-19051997</c:v>
                </c:pt>
                <c:pt idx="22">
                  <c:v>-2622645</c:v>
                </c:pt>
                <c:pt idx="23">
                  <c:v>-1985973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666-44DB-AC80-64F935A5D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4657096"/>
        <c:axId val="1064662344"/>
      </c:barChart>
      <c:catAx>
        <c:axId val="1064657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4662344"/>
        <c:crosses val="autoZero"/>
        <c:auto val="1"/>
        <c:lblAlgn val="ctr"/>
        <c:lblOffset val="100"/>
        <c:noMultiLvlLbl val="0"/>
      </c:catAx>
      <c:valAx>
        <c:axId val="106466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4657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ローン種類別貸付件数　期中純増減（単位：件）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期中純増減推移グラフ!$A$78</c:f>
              <c:strCache>
                <c:ptCount val="1"/>
                <c:pt idx="0">
                  <c:v>スイッチローン・生活再建資金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期中純増減推移グラフ!$B$77:$AR$77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期中純増減推移グラフ!$B$78:$AR$78</c:f>
              <c:numCache>
                <c:formatCode>#,##0_ 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150</c:v>
                </c:pt>
                <c:pt idx="23">
                  <c:v>212</c:v>
                </c:pt>
                <c:pt idx="24">
                  <c:v>396</c:v>
                </c:pt>
                <c:pt idx="25">
                  <c:v>352</c:v>
                </c:pt>
                <c:pt idx="26">
                  <c:v>366</c:v>
                </c:pt>
                <c:pt idx="27">
                  <c:v>384</c:v>
                </c:pt>
                <c:pt idx="28">
                  <c:v>240</c:v>
                </c:pt>
                <c:pt idx="29">
                  <c:v>40</c:v>
                </c:pt>
                <c:pt idx="30">
                  <c:v>43</c:v>
                </c:pt>
                <c:pt idx="31">
                  <c:v>-24</c:v>
                </c:pt>
                <c:pt idx="32">
                  <c:v>-187</c:v>
                </c:pt>
                <c:pt idx="33">
                  <c:v>-230</c:v>
                </c:pt>
                <c:pt idx="34">
                  <c:v>10</c:v>
                </c:pt>
                <c:pt idx="35">
                  <c:v>-47</c:v>
                </c:pt>
                <c:pt idx="36">
                  <c:v>-171</c:v>
                </c:pt>
                <c:pt idx="37">
                  <c:v>-324</c:v>
                </c:pt>
                <c:pt idx="38">
                  <c:v>-175</c:v>
                </c:pt>
                <c:pt idx="39">
                  <c:v>-178</c:v>
                </c:pt>
                <c:pt idx="40">
                  <c:v>-252</c:v>
                </c:pt>
                <c:pt idx="41">
                  <c:v>-236</c:v>
                </c:pt>
                <c:pt idx="42">
                  <c:v>-177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9-4954-A98B-94E68F956A60}"/>
            </c:ext>
          </c:extLst>
        </c:ser>
        <c:ser>
          <c:idx val="1"/>
          <c:order val="1"/>
          <c:tx>
            <c:strRef>
              <c:f>期中純増減推移グラフ!$A$79</c:f>
              <c:strCache>
                <c:ptCount val="1"/>
                <c:pt idx="0">
                  <c:v>共済会関連貸付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期中純増減推移グラフ!$B$77:$AR$77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期中純増減推移グラフ!$B$79:$AR$79</c:f>
              <c:numCache>
                <c:formatCode>#,##0_ 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3084</c:v>
                </c:pt>
                <c:pt idx="10">
                  <c:v>88</c:v>
                </c:pt>
                <c:pt idx="11">
                  <c:v>291</c:v>
                </c:pt>
                <c:pt idx="12">
                  <c:v>-318</c:v>
                </c:pt>
                <c:pt idx="13">
                  <c:v>-27</c:v>
                </c:pt>
                <c:pt idx="14">
                  <c:v>-337</c:v>
                </c:pt>
                <c:pt idx="15">
                  <c:v>290</c:v>
                </c:pt>
                <c:pt idx="16">
                  <c:v>-366</c:v>
                </c:pt>
                <c:pt idx="17">
                  <c:v>95</c:v>
                </c:pt>
                <c:pt idx="18">
                  <c:v>-55</c:v>
                </c:pt>
                <c:pt idx="19">
                  <c:v>-603</c:v>
                </c:pt>
                <c:pt idx="20">
                  <c:v>-1886</c:v>
                </c:pt>
                <c:pt idx="21">
                  <c:v>20</c:v>
                </c:pt>
                <c:pt idx="22">
                  <c:v>-21</c:v>
                </c:pt>
                <c:pt idx="23">
                  <c:v>-18</c:v>
                </c:pt>
                <c:pt idx="24">
                  <c:v>-11</c:v>
                </c:pt>
                <c:pt idx="25">
                  <c:v>-10</c:v>
                </c:pt>
                <c:pt idx="26">
                  <c:v>-8</c:v>
                </c:pt>
                <c:pt idx="27">
                  <c:v>-2</c:v>
                </c:pt>
                <c:pt idx="28">
                  <c:v>-6</c:v>
                </c:pt>
                <c:pt idx="29">
                  <c:v>-1</c:v>
                </c:pt>
                <c:pt idx="30">
                  <c:v>-5</c:v>
                </c:pt>
                <c:pt idx="31">
                  <c:v>-3</c:v>
                </c:pt>
                <c:pt idx="32">
                  <c:v>-3</c:v>
                </c:pt>
                <c:pt idx="33">
                  <c:v>-6</c:v>
                </c:pt>
                <c:pt idx="34">
                  <c:v>0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-1</c:v>
                </c:pt>
                <c:pt idx="39">
                  <c:v>-3</c:v>
                </c:pt>
                <c:pt idx="40">
                  <c:v>0</c:v>
                </c:pt>
                <c:pt idx="41">
                  <c:v>-2</c:v>
                </c:pt>
                <c:pt idx="42">
                  <c:v>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89-4954-A98B-94E68F956A60}"/>
            </c:ext>
          </c:extLst>
        </c:ser>
        <c:ser>
          <c:idx val="2"/>
          <c:order val="2"/>
          <c:tx>
            <c:strRef>
              <c:f>期中純増減推移グラフ!$A$80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期中純増減推移グラフ!$B$77:$AR$77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期中純増減推移グラフ!$B$80:$AR$80</c:f>
              <c:numCache>
                <c:formatCode>#,##0_ </c:formatCode>
                <c:ptCount val="43"/>
                <c:pt idx="0">
                  <c:v>-42</c:v>
                </c:pt>
                <c:pt idx="1">
                  <c:v>305</c:v>
                </c:pt>
                <c:pt idx="2">
                  <c:v>699</c:v>
                </c:pt>
                <c:pt idx="3">
                  <c:v>574</c:v>
                </c:pt>
                <c:pt idx="4">
                  <c:v>6611</c:v>
                </c:pt>
                <c:pt idx="5">
                  <c:v>2793</c:v>
                </c:pt>
                <c:pt idx="6">
                  <c:v>3920</c:v>
                </c:pt>
                <c:pt idx="7">
                  <c:v>-356</c:v>
                </c:pt>
                <c:pt idx="8">
                  <c:v>294</c:v>
                </c:pt>
                <c:pt idx="9">
                  <c:v>60</c:v>
                </c:pt>
                <c:pt idx="10">
                  <c:v>169</c:v>
                </c:pt>
                <c:pt idx="11">
                  <c:v>396</c:v>
                </c:pt>
                <c:pt idx="12">
                  <c:v>-143</c:v>
                </c:pt>
                <c:pt idx="13">
                  <c:v>473</c:v>
                </c:pt>
                <c:pt idx="14">
                  <c:v>-176</c:v>
                </c:pt>
                <c:pt idx="15">
                  <c:v>113</c:v>
                </c:pt>
                <c:pt idx="16">
                  <c:v>117</c:v>
                </c:pt>
                <c:pt idx="17">
                  <c:v>466</c:v>
                </c:pt>
                <c:pt idx="18">
                  <c:v>-529</c:v>
                </c:pt>
                <c:pt idx="19">
                  <c:v>55</c:v>
                </c:pt>
                <c:pt idx="20">
                  <c:v>284</c:v>
                </c:pt>
                <c:pt idx="21">
                  <c:v>148</c:v>
                </c:pt>
                <c:pt idx="22">
                  <c:v>-97</c:v>
                </c:pt>
                <c:pt idx="23">
                  <c:v>-57</c:v>
                </c:pt>
                <c:pt idx="24">
                  <c:v>38</c:v>
                </c:pt>
                <c:pt idx="25">
                  <c:v>11</c:v>
                </c:pt>
                <c:pt idx="26">
                  <c:v>21</c:v>
                </c:pt>
                <c:pt idx="27">
                  <c:v>25</c:v>
                </c:pt>
                <c:pt idx="28">
                  <c:v>107</c:v>
                </c:pt>
                <c:pt idx="29">
                  <c:v>49</c:v>
                </c:pt>
                <c:pt idx="30">
                  <c:v>-13</c:v>
                </c:pt>
                <c:pt idx="31">
                  <c:v>39</c:v>
                </c:pt>
                <c:pt idx="32">
                  <c:v>48</c:v>
                </c:pt>
                <c:pt idx="33">
                  <c:v>-15</c:v>
                </c:pt>
                <c:pt idx="34">
                  <c:v>-45</c:v>
                </c:pt>
                <c:pt idx="35">
                  <c:v>32</c:v>
                </c:pt>
                <c:pt idx="36">
                  <c:v>-62</c:v>
                </c:pt>
                <c:pt idx="37">
                  <c:v>-105</c:v>
                </c:pt>
                <c:pt idx="38">
                  <c:v>-92</c:v>
                </c:pt>
                <c:pt idx="39">
                  <c:v>-62</c:v>
                </c:pt>
                <c:pt idx="40">
                  <c:v>-41</c:v>
                </c:pt>
                <c:pt idx="41">
                  <c:v>-82</c:v>
                </c:pt>
                <c:pt idx="42">
                  <c:v>-93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89-4954-A98B-94E68F956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968856"/>
        <c:axId val="1122962952"/>
      </c:barChart>
      <c:catAx>
        <c:axId val="112296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2962952"/>
        <c:crosses val="autoZero"/>
        <c:auto val="1"/>
        <c:lblAlgn val="ctr"/>
        <c:lblOffset val="100"/>
        <c:noMultiLvlLbl val="0"/>
      </c:catAx>
      <c:valAx>
        <c:axId val="112296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2968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岩手県信用生協　ローン種類別貸付金額　期中純増減（単位：円）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期中純増減推移グラフ!$A$161</c:f>
              <c:strCache>
                <c:ptCount val="1"/>
                <c:pt idx="0">
                  <c:v>スイッチローン・生活再建資金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期中純増減推移グラフ!$B$160:$AR$160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期中純増減推移グラフ!$B$161:$AR$161</c:f>
              <c:numCache>
                <c:formatCode>#,##0_ 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233344641</c:v>
                </c:pt>
                <c:pt idx="23">
                  <c:v>388803810</c:v>
                </c:pt>
                <c:pt idx="24">
                  <c:v>792617043</c:v>
                </c:pt>
                <c:pt idx="25">
                  <c:v>665374591</c:v>
                </c:pt>
                <c:pt idx="26">
                  <c:v>659946832</c:v>
                </c:pt>
                <c:pt idx="27">
                  <c:v>534330550</c:v>
                </c:pt>
                <c:pt idx="28">
                  <c:v>192719964</c:v>
                </c:pt>
                <c:pt idx="29">
                  <c:v>-157928324</c:v>
                </c:pt>
                <c:pt idx="30">
                  <c:v>-252095438</c:v>
                </c:pt>
                <c:pt idx="31">
                  <c:v>-273543169</c:v>
                </c:pt>
                <c:pt idx="32">
                  <c:v>-810394495</c:v>
                </c:pt>
                <c:pt idx="33">
                  <c:v>-638633636</c:v>
                </c:pt>
                <c:pt idx="34">
                  <c:v>-310344780</c:v>
                </c:pt>
                <c:pt idx="35">
                  <c:v>-368149752</c:v>
                </c:pt>
                <c:pt idx="36">
                  <c:v>-412564609</c:v>
                </c:pt>
                <c:pt idx="37">
                  <c:v>-474261141</c:v>
                </c:pt>
                <c:pt idx="38">
                  <c:v>-288289358</c:v>
                </c:pt>
                <c:pt idx="39">
                  <c:v>-241669997</c:v>
                </c:pt>
                <c:pt idx="40">
                  <c:v>-250670207</c:v>
                </c:pt>
                <c:pt idx="41">
                  <c:v>-238031981</c:v>
                </c:pt>
                <c:pt idx="42">
                  <c:v>-100570239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5-452B-9001-AD2FFE8453B7}"/>
            </c:ext>
          </c:extLst>
        </c:ser>
        <c:ser>
          <c:idx val="1"/>
          <c:order val="1"/>
          <c:tx>
            <c:strRef>
              <c:f>期中純増減推移グラフ!$A$162</c:f>
              <c:strCache>
                <c:ptCount val="1"/>
                <c:pt idx="0">
                  <c:v>共済会関連貸付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期中純増減推移グラフ!$B$160:$AR$160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期中純増減推移グラフ!$B$162:$AR$162</c:f>
              <c:numCache>
                <c:formatCode>#,##0_ 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11101000</c:v>
                </c:pt>
                <c:pt idx="5">
                  <c:v>457204</c:v>
                </c:pt>
                <c:pt idx="6">
                  <c:v>1618897</c:v>
                </c:pt>
                <c:pt idx="7">
                  <c:v>-242280</c:v>
                </c:pt>
                <c:pt idx="8">
                  <c:v>2548842</c:v>
                </c:pt>
                <c:pt idx="9">
                  <c:v>18556000</c:v>
                </c:pt>
                <c:pt idx="10">
                  <c:v>39630150</c:v>
                </c:pt>
                <c:pt idx="11">
                  <c:v>363504937</c:v>
                </c:pt>
                <c:pt idx="12">
                  <c:v>106128700</c:v>
                </c:pt>
                <c:pt idx="13">
                  <c:v>9520891</c:v>
                </c:pt>
                <c:pt idx="14">
                  <c:v>18530213</c:v>
                </c:pt>
                <c:pt idx="15">
                  <c:v>8582294</c:v>
                </c:pt>
                <c:pt idx="16">
                  <c:v>-82613556</c:v>
                </c:pt>
                <c:pt idx="17">
                  <c:v>-56485210</c:v>
                </c:pt>
                <c:pt idx="18">
                  <c:v>-42221437</c:v>
                </c:pt>
                <c:pt idx="19">
                  <c:v>-80597214</c:v>
                </c:pt>
                <c:pt idx="20">
                  <c:v>4599698</c:v>
                </c:pt>
                <c:pt idx="21">
                  <c:v>-15836501</c:v>
                </c:pt>
                <c:pt idx="22">
                  <c:v>-31711681</c:v>
                </c:pt>
                <c:pt idx="23">
                  <c:v>-38823884</c:v>
                </c:pt>
                <c:pt idx="24">
                  <c:v>-8080807</c:v>
                </c:pt>
                <c:pt idx="25">
                  <c:v>-13346638</c:v>
                </c:pt>
                <c:pt idx="26">
                  <c:v>-12993612</c:v>
                </c:pt>
                <c:pt idx="27">
                  <c:v>-10441646</c:v>
                </c:pt>
                <c:pt idx="28">
                  <c:v>-11167022</c:v>
                </c:pt>
                <c:pt idx="29">
                  <c:v>42744</c:v>
                </c:pt>
                <c:pt idx="30">
                  <c:v>175708</c:v>
                </c:pt>
                <c:pt idx="31">
                  <c:v>-2648628</c:v>
                </c:pt>
                <c:pt idx="32">
                  <c:v>-9793988</c:v>
                </c:pt>
                <c:pt idx="33">
                  <c:v>-7120306</c:v>
                </c:pt>
                <c:pt idx="34">
                  <c:v>-1101648</c:v>
                </c:pt>
                <c:pt idx="35">
                  <c:v>-5147225</c:v>
                </c:pt>
                <c:pt idx="36">
                  <c:v>-4261478</c:v>
                </c:pt>
                <c:pt idx="37">
                  <c:v>-2970809</c:v>
                </c:pt>
                <c:pt idx="38">
                  <c:v>-2712804</c:v>
                </c:pt>
                <c:pt idx="39">
                  <c:v>-2847128</c:v>
                </c:pt>
                <c:pt idx="40">
                  <c:v>-885937</c:v>
                </c:pt>
                <c:pt idx="41">
                  <c:v>-641397</c:v>
                </c:pt>
                <c:pt idx="42">
                  <c:v>-2397680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E5-452B-9001-AD2FFE8453B7}"/>
            </c:ext>
          </c:extLst>
        </c:ser>
        <c:ser>
          <c:idx val="2"/>
          <c:order val="2"/>
          <c:tx>
            <c:strRef>
              <c:f>期中純増減推移グラフ!$A$163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期中純増減推移グラフ!$B$160:$AR$160</c:f>
              <c:strCache>
                <c:ptCount val="43"/>
                <c:pt idx="0">
                  <c:v>昭和46年度(1971)</c:v>
                </c:pt>
                <c:pt idx="1">
                  <c:v>昭和49年度(1974)</c:v>
                </c:pt>
                <c:pt idx="2">
                  <c:v>昭和50年度(1975)</c:v>
                </c:pt>
                <c:pt idx="3">
                  <c:v>昭和51年度(1976)</c:v>
                </c:pt>
                <c:pt idx="4">
                  <c:v>昭和52年度(1977)</c:v>
                </c:pt>
                <c:pt idx="5">
                  <c:v>昭和53年度(1978)</c:v>
                </c:pt>
                <c:pt idx="6">
                  <c:v>昭和54年度(1979)</c:v>
                </c:pt>
                <c:pt idx="7">
                  <c:v>昭和55年度(1980)</c:v>
                </c:pt>
                <c:pt idx="8">
                  <c:v>昭和56年度(1981)</c:v>
                </c:pt>
                <c:pt idx="9">
                  <c:v>昭和60年度(1985)</c:v>
                </c:pt>
                <c:pt idx="10">
                  <c:v>昭和61年度(1986)</c:v>
                </c:pt>
                <c:pt idx="11">
                  <c:v>昭和62年度(1987)</c:v>
                </c:pt>
                <c:pt idx="12">
                  <c:v>昭和63年度(1988)</c:v>
                </c:pt>
                <c:pt idx="13">
                  <c:v>平成元年度(1989)</c:v>
                </c:pt>
                <c:pt idx="14">
                  <c:v>平成2年度(1990)</c:v>
                </c:pt>
                <c:pt idx="15">
                  <c:v>平成3年度(1991)</c:v>
                </c:pt>
                <c:pt idx="16">
                  <c:v>平成4年度(1992)</c:v>
                </c:pt>
                <c:pt idx="17">
                  <c:v>平成5年度(1993)</c:v>
                </c:pt>
                <c:pt idx="18">
                  <c:v>平成6年度(1994)</c:v>
                </c:pt>
                <c:pt idx="19">
                  <c:v>平成7年度(1995)</c:v>
                </c:pt>
                <c:pt idx="20">
                  <c:v>平成8年度(1996)</c:v>
                </c:pt>
                <c:pt idx="21">
                  <c:v>平成9年度(1997)</c:v>
                </c:pt>
                <c:pt idx="22">
                  <c:v>平成10年度(1998)</c:v>
                </c:pt>
                <c:pt idx="23">
                  <c:v>平成11年度(1999)</c:v>
                </c:pt>
                <c:pt idx="24">
                  <c:v>平成12年度(2000)</c:v>
                </c:pt>
                <c:pt idx="25">
                  <c:v>平成13年度(2001)</c:v>
                </c:pt>
                <c:pt idx="26">
                  <c:v>平成14年度(2002)</c:v>
                </c:pt>
                <c:pt idx="27">
                  <c:v>平成15年(2003)</c:v>
                </c:pt>
                <c:pt idx="28">
                  <c:v>平成16年(2004)</c:v>
                </c:pt>
                <c:pt idx="29">
                  <c:v>平成17年度(2005)</c:v>
                </c:pt>
                <c:pt idx="30">
                  <c:v>平成18年度(2006)</c:v>
                </c:pt>
                <c:pt idx="31">
                  <c:v>平成19年度(2007)</c:v>
                </c:pt>
                <c:pt idx="32">
                  <c:v>平成20年度(2008)</c:v>
                </c:pt>
                <c:pt idx="33">
                  <c:v>平成21年度(2009)</c:v>
                </c:pt>
                <c:pt idx="34">
                  <c:v>平成22年度(2010)</c:v>
                </c:pt>
                <c:pt idx="35">
                  <c:v>平成23年度(2011)</c:v>
                </c:pt>
                <c:pt idx="36">
                  <c:v>平成24年度(2012)</c:v>
                </c:pt>
                <c:pt idx="37">
                  <c:v>平成25年度(2013)</c:v>
                </c:pt>
                <c:pt idx="38">
                  <c:v>平成26年度(2014)</c:v>
                </c:pt>
                <c:pt idx="39">
                  <c:v>平成27年度(2015)</c:v>
                </c:pt>
                <c:pt idx="40">
                  <c:v>平成28年度(2016)</c:v>
                </c:pt>
                <c:pt idx="41">
                  <c:v>平成29年度(2017)</c:v>
                </c:pt>
                <c:pt idx="42">
                  <c:v>平成30年度(2018)</c:v>
                </c:pt>
              </c:strCache>
            </c:strRef>
          </c:cat>
          <c:val>
            <c:numRef>
              <c:f>期中純増減推移グラフ!$B$163:$AR$163</c:f>
              <c:numCache>
                <c:formatCode>#,##0_ </c:formatCode>
                <c:ptCount val="43"/>
                <c:pt idx="0">
                  <c:v>24331806</c:v>
                </c:pt>
                <c:pt idx="1">
                  <c:v>41231000</c:v>
                </c:pt>
                <c:pt idx="2">
                  <c:v>28349910</c:v>
                </c:pt>
                <c:pt idx="3">
                  <c:v>56295235</c:v>
                </c:pt>
                <c:pt idx="4">
                  <c:v>109611000</c:v>
                </c:pt>
                <c:pt idx="5">
                  <c:v>-10891960</c:v>
                </c:pt>
                <c:pt idx="6">
                  <c:v>2729762</c:v>
                </c:pt>
                <c:pt idx="7">
                  <c:v>23749604</c:v>
                </c:pt>
                <c:pt idx="8">
                  <c:v>69965552</c:v>
                </c:pt>
                <c:pt idx="9">
                  <c:v>-14063000</c:v>
                </c:pt>
                <c:pt idx="10">
                  <c:v>-101873809</c:v>
                </c:pt>
                <c:pt idx="11">
                  <c:v>65639020</c:v>
                </c:pt>
                <c:pt idx="12">
                  <c:v>64684792</c:v>
                </c:pt>
                <c:pt idx="13">
                  <c:v>179089881</c:v>
                </c:pt>
                <c:pt idx="14">
                  <c:v>219413458</c:v>
                </c:pt>
                <c:pt idx="15">
                  <c:v>307071865</c:v>
                </c:pt>
                <c:pt idx="16">
                  <c:v>407006768</c:v>
                </c:pt>
                <c:pt idx="17">
                  <c:v>387252391</c:v>
                </c:pt>
                <c:pt idx="18">
                  <c:v>410314131</c:v>
                </c:pt>
                <c:pt idx="19">
                  <c:v>208207256</c:v>
                </c:pt>
                <c:pt idx="20">
                  <c:v>516651694</c:v>
                </c:pt>
                <c:pt idx="21">
                  <c:v>438176614</c:v>
                </c:pt>
                <c:pt idx="22">
                  <c:v>-103313151</c:v>
                </c:pt>
                <c:pt idx="23">
                  <c:v>133753266</c:v>
                </c:pt>
                <c:pt idx="24">
                  <c:v>48130060</c:v>
                </c:pt>
                <c:pt idx="25">
                  <c:v>-8429056</c:v>
                </c:pt>
                <c:pt idx="26">
                  <c:v>220018758</c:v>
                </c:pt>
                <c:pt idx="27">
                  <c:v>116845327</c:v>
                </c:pt>
                <c:pt idx="28">
                  <c:v>222717590</c:v>
                </c:pt>
                <c:pt idx="29">
                  <c:v>26649821</c:v>
                </c:pt>
                <c:pt idx="30">
                  <c:v>-121342707</c:v>
                </c:pt>
                <c:pt idx="31">
                  <c:v>-74274825</c:v>
                </c:pt>
                <c:pt idx="32">
                  <c:v>-127371140</c:v>
                </c:pt>
                <c:pt idx="33">
                  <c:v>-118686854</c:v>
                </c:pt>
                <c:pt idx="34">
                  <c:v>-72035550</c:v>
                </c:pt>
                <c:pt idx="35">
                  <c:v>-8377824</c:v>
                </c:pt>
                <c:pt idx="36">
                  <c:v>-54743494</c:v>
                </c:pt>
                <c:pt idx="37">
                  <c:v>-88095461</c:v>
                </c:pt>
                <c:pt idx="38">
                  <c:v>-57905705</c:v>
                </c:pt>
                <c:pt idx="39">
                  <c:v>-90066139</c:v>
                </c:pt>
                <c:pt idx="40">
                  <c:v>-114146770</c:v>
                </c:pt>
                <c:pt idx="41">
                  <c:v>-123019321</c:v>
                </c:pt>
                <c:pt idx="42">
                  <c:v>-101619830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E5-452B-9001-AD2FFE845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8488048"/>
        <c:axId val="528491328"/>
      </c:barChart>
      <c:catAx>
        <c:axId val="52848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8491328"/>
        <c:crosses val="autoZero"/>
        <c:auto val="1"/>
        <c:lblAlgn val="ctr"/>
        <c:lblOffset val="100"/>
        <c:noMultiLvlLbl val="0"/>
      </c:catAx>
      <c:valAx>
        <c:axId val="52849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848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9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8.xml"/><Relationship Id="rId5" Type="http://schemas.openxmlformats.org/officeDocument/2006/relationships/image" Target="../media/image1.png"/><Relationship Id="rId4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1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12" Type="http://schemas.openxmlformats.org/officeDocument/2006/relationships/image" Target="../media/image3.png"/><Relationship Id="rId17" Type="http://schemas.openxmlformats.org/officeDocument/2006/relationships/chart" Target="../charts/chart45.xml"/><Relationship Id="rId2" Type="http://schemas.openxmlformats.org/officeDocument/2006/relationships/chart" Target="../charts/chart32.xml"/><Relationship Id="rId16" Type="http://schemas.openxmlformats.org/officeDocument/2006/relationships/chart" Target="../charts/chart44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image" Target="../media/image2.png"/><Relationship Id="rId5" Type="http://schemas.openxmlformats.org/officeDocument/2006/relationships/chart" Target="../charts/chart35.xml"/><Relationship Id="rId15" Type="http://schemas.openxmlformats.org/officeDocument/2006/relationships/chart" Target="../charts/chart43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195269</xdr:colOff>
      <xdr:row>54</xdr:row>
      <xdr:rowOff>59530</xdr:rowOff>
    </xdr:from>
    <xdr:to>
      <xdr:col>6</xdr:col>
      <xdr:colOff>557213</xdr:colOff>
      <xdr:row>71</xdr:row>
      <xdr:rowOff>50005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0A1502F-3175-4AF1-96C2-106435CEE8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628655</xdr:colOff>
      <xdr:row>54</xdr:row>
      <xdr:rowOff>64293</xdr:rowOff>
    </xdr:from>
    <xdr:to>
      <xdr:col>16</xdr:col>
      <xdr:colOff>409574</xdr:colOff>
      <xdr:row>71</xdr:row>
      <xdr:rowOff>54768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43ECC4B-9EC9-4E2B-9DEA-920138A486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161930</xdr:colOff>
      <xdr:row>71</xdr:row>
      <xdr:rowOff>145255</xdr:rowOff>
    </xdr:from>
    <xdr:to>
      <xdr:col>6</xdr:col>
      <xdr:colOff>566737</xdr:colOff>
      <xdr:row>96</xdr:row>
      <xdr:rowOff>19049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80334AAA-0BF4-4516-B17E-F7F47A4FF9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645317</xdr:colOff>
      <xdr:row>71</xdr:row>
      <xdr:rowOff>140493</xdr:rowOff>
    </xdr:from>
    <xdr:to>
      <xdr:col>16</xdr:col>
      <xdr:colOff>223836</xdr:colOff>
      <xdr:row>96</xdr:row>
      <xdr:rowOff>14288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DAEA7566-2E5D-4F47-BED1-76A47CF6BA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234956</xdr:colOff>
      <xdr:row>102</xdr:row>
      <xdr:rowOff>79375</xdr:rowOff>
    </xdr:from>
    <xdr:to>
      <xdr:col>6</xdr:col>
      <xdr:colOff>596906</xdr:colOff>
      <xdr:row>119</xdr:row>
      <xdr:rowOff>15875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1AC2EBC-F14F-4370-AF09-915C05A0F1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</xdr:colOff>
      <xdr:row>168</xdr:row>
      <xdr:rowOff>100011</xdr:rowOff>
    </xdr:from>
    <xdr:to>
      <xdr:col>6</xdr:col>
      <xdr:colOff>61911</xdr:colOff>
      <xdr:row>203</xdr:row>
      <xdr:rowOff>109536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E8136D1A-A09A-4E33-86D9-9F881B6DC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147636</xdr:colOff>
      <xdr:row>168</xdr:row>
      <xdr:rowOff>104774</xdr:rowOff>
    </xdr:from>
    <xdr:to>
      <xdr:col>12</xdr:col>
      <xdr:colOff>695325</xdr:colOff>
      <xdr:row>203</xdr:row>
      <xdr:rowOff>76199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7969E303-66A9-469D-BA70-F580E520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147637</xdr:colOff>
      <xdr:row>203</xdr:row>
      <xdr:rowOff>152399</xdr:rowOff>
    </xdr:from>
    <xdr:to>
      <xdr:col>6</xdr:col>
      <xdr:colOff>85725</xdr:colOff>
      <xdr:row>227</xdr:row>
      <xdr:rowOff>42862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D176B558-C3B5-4420-B653-1DF7A7AE9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171449</xdr:colOff>
      <xdr:row>204</xdr:row>
      <xdr:rowOff>0</xdr:rowOff>
    </xdr:from>
    <xdr:to>
      <xdr:col>12</xdr:col>
      <xdr:colOff>704849</xdr:colOff>
      <xdr:row>227</xdr:row>
      <xdr:rowOff>38100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6862BB5E-4D22-4196-BFD1-5347C5321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280986</xdr:colOff>
      <xdr:row>170</xdr:row>
      <xdr:rowOff>80962</xdr:rowOff>
    </xdr:from>
    <xdr:to>
      <xdr:col>6</xdr:col>
      <xdr:colOff>633410</xdr:colOff>
      <xdr:row>200</xdr:row>
      <xdr:rowOff>38100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BACA561-0719-490E-91F6-09BF808A3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757239</xdr:colOff>
      <xdr:row>170</xdr:row>
      <xdr:rowOff>71437</xdr:rowOff>
    </xdr:from>
    <xdr:to>
      <xdr:col>13</xdr:col>
      <xdr:colOff>385763</xdr:colOff>
      <xdr:row>200</xdr:row>
      <xdr:rowOff>14287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7905B3F-F2CA-4891-9D48-70B0EB64C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261937</xdr:colOff>
      <xdr:row>201</xdr:row>
      <xdr:rowOff>0</xdr:rowOff>
    </xdr:from>
    <xdr:to>
      <xdr:col>6</xdr:col>
      <xdr:colOff>614361</xdr:colOff>
      <xdr:row>230</xdr:row>
      <xdr:rowOff>109538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BC3586B3-BD41-4D89-946B-4649F690B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766762</xdr:colOff>
      <xdr:row>201</xdr:row>
      <xdr:rowOff>14288</xdr:rowOff>
    </xdr:from>
    <xdr:to>
      <xdr:col>13</xdr:col>
      <xdr:colOff>395286</xdr:colOff>
      <xdr:row>230</xdr:row>
      <xdr:rowOff>109538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747A75FD-D633-49C6-AA1B-48C644CCCC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280987</xdr:colOff>
      <xdr:row>231</xdr:row>
      <xdr:rowOff>57150</xdr:rowOff>
    </xdr:from>
    <xdr:to>
      <xdr:col>6</xdr:col>
      <xdr:colOff>609600</xdr:colOff>
      <xdr:row>256</xdr:row>
      <xdr:rowOff>114300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AAA7580D-2C6E-4A8C-852B-67384B639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280988</xdr:colOff>
      <xdr:row>257</xdr:row>
      <xdr:rowOff>104775</xdr:rowOff>
    </xdr:from>
    <xdr:to>
      <xdr:col>6</xdr:col>
      <xdr:colOff>609601</xdr:colOff>
      <xdr:row>283</xdr:row>
      <xdr:rowOff>9525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48550421-B6EC-45DB-803A-FB363970D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790574</xdr:colOff>
      <xdr:row>231</xdr:row>
      <xdr:rowOff>90486</xdr:rowOff>
    </xdr:from>
    <xdr:to>
      <xdr:col>13</xdr:col>
      <xdr:colOff>361950</xdr:colOff>
      <xdr:row>256</xdr:row>
      <xdr:rowOff>90487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810C8C55-1A45-4F24-9709-DDB8BA1B06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833438</xdr:colOff>
      <xdr:row>257</xdr:row>
      <xdr:rowOff>80963</xdr:rowOff>
    </xdr:from>
    <xdr:to>
      <xdr:col>13</xdr:col>
      <xdr:colOff>404814</xdr:colOff>
      <xdr:row>282</xdr:row>
      <xdr:rowOff>80964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2643AE12-BA0F-4A76-907F-F1F96B868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445292</xdr:colOff>
      <xdr:row>76</xdr:row>
      <xdr:rowOff>145256</xdr:rowOff>
    </xdr:from>
    <xdr:to>
      <xdr:col>9</xdr:col>
      <xdr:colOff>757236</xdr:colOff>
      <xdr:row>101</xdr:row>
      <xdr:rowOff>71438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965DB6C1-AC9C-4E90-B8C2-7C27C91C17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76</xdr:row>
      <xdr:rowOff>152399</xdr:rowOff>
    </xdr:from>
    <xdr:to>
      <xdr:col>18</xdr:col>
      <xdr:colOff>171450</xdr:colOff>
      <xdr:row>101</xdr:row>
      <xdr:rowOff>80962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6F94F8E5-1AAC-4702-BD31-5485D0E64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188119</xdr:colOff>
      <xdr:row>86</xdr:row>
      <xdr:rowOff>21430</xdr:rowOff>
    </xdr:from>
    <xdr:to>
      <xdr:col>5</xdr:col>
      <xdr:colOff>909638</xdr:colOff>
      <xdr:row>109</xdr:row>
      <xdr:rowOff>57149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EA90E36-38FB-4D62-8A83-12E22A921A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86</xdr:row>
      <xdr:rowOff>0</xdr:rowOff>
    </xdr:from>
    <xdr:to>
      <xdr:col>11</xdr:col>
      <xdr:colOff>390525</xdr:colOff>
      <xdr:row>109</xdr:row>
      <xdr:rowOff>71438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2522FFE-6175-4FEE-A227-2D42A87EB2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176212</xdr:colOff>
      <xdr:row>110</xdr:row>
      <xdr:rowOff>0</xdr:rowOff>
    </xdr:from>
    <xdr:to>
      <xdr:col>5</xdr:col>
      <xdr:colOff>897731</xdr:colOff>
      <xdr:row>135</xdr:row>
      <xdr:rowOff>76200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1D755F61-C2CF-43F0-887C-15CA5538E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4763</xdr:colOff>
      <xdr:row>110</xdr:row>
      <xdr:rowOff>0</xdr:rowOff>
    </xdr:from>
    <xdr:to>
      <xdr:col>11</xdr:col>
      <xdr:colOff>395288</xdr:colOff>
      <xdr:row>133</xdr:row>
      <xdr:rowOff>71438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CDC37831-25DA-44D6-9C6E-70FA4CAD46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464820</xdr:colOff>
      <xdr:row>44</xdr:row>
      <xdr:rowOff>102870</xdr:rowOff>
    </xdr:from>
    <xdr:to>
      <xdr:col>34</xdr:col>
      <xdr:colOff>640080</xdr:colOff>
      <xdr:row>63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D563DB2-7526-4DCF-89C3-3ED5BC71B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783590</xdr:colOff>
      <xdr:row>1</xdr:row>
      <xdr:rowOff>31750</xdr:rowOff>
    </xdr:from>
    <xdr:to>
      <xdr:col>11</xdr:col>
      <xdr:colOff>641350</xdr:colOff>
      <xdr:row>17</xdr:row>
      <xdr:rowOff>101600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CBF8686-69A1-4D13-B5CB-E4B062E63D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83820</xdr:colOff>
      <xdr:row>39</xdr:row>
      <xdr:rowOff>121920</xdr:rowOff>
    </xdr:from>
    <xdr:to>
      <xdr:col>34</xdr:col>
      <xdr:colOff>53340</xdr:colOff>
      <xdr:row>47</xdr:row>
      <xdr:rowOff>110490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AF1F98B-499F-4482-BEE8-182814C5A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883920</xdr:colOff>
      <xdr:row>38</xdr:row>
      <xdr:rowOff>152400</xdr:rowOff>
    </xdr:from>
    <xdr:to>
      <xdr:col>33</xdr:col>
      <xdr:colOff>487680</xdr:colOff>
      <xdr:row>46</xdr:row>
      <xdr:rowOff>91440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38A1ADF-0EC3-471B-A9A7-F012CBE24A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0</xdr:colOff>
      <xdr:row>39</xdr:row>
      <xdr:rowOff>0</xdr:rowOff>
    </xdr:from>
    <xdr:to>
      <xdr:col>8</xdr:col>
      <xdr:colOff>434728</xdr:colOff>
      <xdr:row>56</xdr:row>
      <xdr:rowOff>131322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7895FC2-6246-4E16-BCB4-803030C99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52800" y="6438900"/>
          <a:ext cx="4549528" cy="2938022"/>
        </a:xfrm>
        <a:prstGeom prst="rect">
          <a:avLst/>
        </a:prstGeom>
      </xdr:spPr>
    </xdr:pic>
    <xdr:clientData/>
  </xdr:twoCellAnchor>
  <xdr:twoCellAnchor>
    <xdr:from>
      <xdr:col>0</xdr:col>
      <xdr:colOff>1016000</xdr:colOff>
      <xdr:row>1</xdr:row>
      <xdr:rowOff>38100</xdr:rowOff>
    </xdr:from>
    <xdr:to>
      <xdr:col>5</xdr:col>
      <xdr:colOff>615950</xdr:colOff>
      <xdr:row>17</xdr:row>
      <xdr:rowOff>99060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2956773E-998C-4AB5-92A6-DA1E35AD5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48</xdr:row>
      <xdr:rowOff>91440</xdr:rowOff>
    </xdr:from>
    <xdr:to>
      <xdr:col>7</xdr:col>
      <xdr:colOff>342900</xdr:colOff>
      <xdr:row>64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DB8E132-8BB5-462C-9B58-B6074D6968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434340</xdr:colOff>
      <xdr:row>8</xdr:row>
      <xdr:rowOff>11430</xdr:rowOff>
    </xdr:from>
    <xdr:to>
      <xdr:col>19</xdr:col>
      <xdr:colOff>251460</xdr:colOff>
      <xdr:row>24</xdr:row>
      <xdr:rowOff>72390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004DA0E-9DD8-4B56-B818-EF6F472DD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239107</xdr:colOff>
      <xdr:row>52</xdr:row>
      <xdr:rowOff>123370</xdr:rowOff>
    </xdr:from>
    <xdr:to>
      <xdr:col>8</xdr:col>
      <xdr:colOff>159878</xdr:colOff>
      <xdr:row>73</xdr:row>
      <xdr:rowOff>94889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6C254E7-34E3-4B62-AABB-592320AB0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43296</xdr:colOff>
      <xdr:row>2</xdr:row>
      <xdr:rowOff>101023</xdr:rowOff>
    </xdr:from>
    <xdr:to>
      <xdr:col>17</xdr:col>
      <xdr:colOff>460448</xdr:colOff>
      <xdr:row>24</xdr:row>
      <xdr:rowOff>116105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9D680DA-B697-46E6-B6D2-80E8B90958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93807</xdr:colOff>
      <xdr:row>26</xdr:row>
      <xdr:rowOff>101022</xdr:rowOff>
    </xdr:from>
    <xdr:to>
      <xdr:col>17</xdr:col>
      <xdr:colOff>282050</xdr:colOff>
      <xdr:row>46</xdr:row>
      <xdr:rowOff>19265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DA05C5D1-18D9-4D73-B572-9E3424F4EA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291649</xdr:colOff>
      <xdr:row>26</xdr:row>
      <xdr:rowOff>85118</xdr:rowOff>
    </xdr:from>
    <xdr:to>
      <xdr:col>8</xdr:col>
      <xdr:colOff>309794</xdr:colOff>
      <xdr:row>50</xdr:row>
      <xdr:rowOff>27743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94157939-8DF1-4517-A99A-A333B2483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5</xdr:row>
      <xdr:rowOff>1</xdr:rowOff>
    </xdr:from>
    <xdr:to>
      <xdr:col>27</xdr:col>
      <xdr:colOff>237606</xdr:colOff>
      <xdr:row>34</xdr:row>
      <xdr:rowOff>86995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BDE85331-2229-43DD-AB38-D0874B1B619B}"/>
            </a:ext>
          </a:extLst>
        </xdr:cNvPr>
        <xdr:cNvGrpSpPr/>
      </xdr:nvGrpSpPr>
      <xdr:grpSpPr>
        <a:xfrm>
          <a:off x="12373252" y="832283"/>
          <a:ext cx="5120325" cy="4914227"/>
          <a:chOff x="0" y="1"/>
          <a:chExt cx="5433060" cy="4690744"/>
        </a:xfrm>
      </xdr:grpSpPr>
      <xdr:grpSp>
        <xdr:nvGrpSpPr>
          <xdr:cNvPr id="48" name="グループ化 47">
            <a:extLst>
              <a:ext uri="{FF2B5EF4-FFF2-40B4-BE49-F238E27FC236}">
                <a16:creationId xmlns:a16="http://schemas.microsoft.com/office/drawing/2014/main" id="{F3DB872A-A801-4417-AB41-8CD63E98E033}"/>
              </a:ext>
            </a:extLst>
          </xdr:cNvPr>
          <xdr:cNvGrpSpPr/>
        </xdr:nvGrpSpPr>
        <xdr:grpSpPr>
          <a:xfrm>
            <a:off x="4763" y="1"/>
            <a:ext cx="5395595" cy="4286254"/>
            <a:chOff x="0" y="0"/>
            <a:chExt cx="5381624" cy="4281487"/>
          </a:xfrm>
        </xdr:grpSpPr>
        <xdr:sp macro="" textlink="">
          <xdr:nvSpPr>
            <xdr:cNvPr id="50" name="四角形: 角を丸くする 49">
              <a:extLst>
                <a:ext uri="{FF2B5EF4-FFF2-40B4-BE49-F238E27FC236}">
                  <a16:creationId xmlns:a16="http://schemas.microsoft.com/office/drawing/2014/main" id="{785DB516-7147-43B0-9877-EE1E81E95B7C}"/>
                </a:ext>
              </a:extLst>
            </xdr:cNvPr>
            <xdr:cNvSpPr/>
          </xdr:nvSpPr>
          <xdr:spPr>
            <a:xfrm>
              <a:off x="190500" y="3471862"/>
              <a:ext cx="2261870" cy="809625"/>
            </a:xfrm>
            <a:prstGeom prst="roundRect">
              <a:avLst/>
            </a:prstGeom>
            <a:solidFill>
              <a:sysClr val="window" lastClr="FFFFFF"/>
            </a:solidFill>
            <a:ln w="1270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spcAft>
                  <a:spcPts val="0"/>
                </a:spcAft>
              </a:pPr>
              <a:r>
                <a:rPr lang="ja-JP" sz="1050" kern="100">
                  <a:effectLst/>
                  <a:latin typeface="Century" panose="02040604050505020304" pitchFamily="18" charset="0"/>
                  <a:ea typeface="ＭＳ 明朝" panose="02020609040205080304" pitchFamily="17" charset="-128"/>
                  <a:cs typeface="Times New Roman" panose="02020603050405020304" pitchFamily="18" charset="0"/>
                </a:rPr>
                <a:t>業者・債権者</a:t>
              </a:r>
            </a:p>
            <a:p>
              <a:pPr algn="ctr">
                <a:spcAft>
                  <a:spcPts val="0"/>
                </a:spcAft>
              </a:pPr>
              <a:r>
                <a:rPr lang="ja-JP" sz="1050" kern="100">
                  <a:effectLst/>
                  <a:latin typeface="Century" panose="02040604050505020304" pitchFamily="18" charset="0"/>
                  <a:ea typeface="ＭＳ 明朝" panose="02020609040205080304" pitchFamily="17" charset="-128"/>
                  <a:cs typeface="Times New Roman" panose="02020603050405020304" pitchFamily="18" charset="0"/>
                </a:rPr>
                <a:t>●サラ金業者●クレジット会社</a:t>
              </a:r>
            </a:p>
            <a:p>
              <a:pPr algn="ctr">
                <a:spcAft>
                  <a:spcPts val="0"/>
                </a:spcAft>
              </a:pPr>
              <a:r>
                <a:rPr lang="ja-JP" sz="1050" kern="100">
                  <a:effectLst/>
                  <a:latin typeface="Century" panose="02040604050505020304" pitchFamily="18" charset="0"/>
                  <a:ea typeface="ＭＳ 明朝" panose="02020609040205080304" pitchFamily="17" charset="-128"/>
                  <a:cs typeface="Times New Roman" panose="02020603050405020304" pitchFamily="18" charset="0"/>
                </a:rPr>
                <a:t>●その他金融機関</a:t>
              </a:r>
            </a:p>
          </xdr:txBody>
        </xdr:sp>
        <xdr:grpSp>
          <xdr:nvGrpSpPr>
            <xdr:cNvPr id="51" name="グループ化 50">
              <a:extLst>
                <a:ext uri="{FF2B5EF4-FFF2-40B4-BE49-F238E27FC236}">
                  <a16:creationId xmlns:a16="http://schemas.microsoft.com/office/drawing/2014/main" id="{823FEB85-F65D-446A-B6B0-852E4B5E498C}"/>
                </a:ext>
              </a:extLst>
            </xdr:cNvPr>
            <xdr:cNvGrpSpPr/>
          </xdr:nvGrpSpPr>
          <xdr:grpSpPr>
            <a:xfrm>
              <a:off x="0" y="0"/>
              <a:ext cx="5381624" cy="3608666"/>
              <a:chOff x="0" y="0"/>
              <a:chExt cx="5381624" cy="3608666"/>
            </a:xfrm>
          </xdr:grpSpPr>
          <xdr:sp macro="" textlink="">
            <xdr:nvSpPr>
              <xdr:cNvPr id="53" name="矢印: 下 52">
                <a:extLst>
                  <a:ext uri="{FF2B5EF4-FFF2-40B4-BE49-F238E27FC236}">
                    <a16:creationId xmlns:a16="http://schemas.microsoft.com/office/drawing/2014/main" id="{12C99982-40B4-4834-A505-A1EE5522D4C0}"/>
                  </a:ext>
                </a:extLst>
              </xdr:cNvPr>
              <xdr:cNvSpPr/>
            </xdr:nvSpPr>
            <xdr:spPr>
              <a:xfrm rot="3392886">
                <a:off x="2809399" y="3109118"/>
                <a:ext cx="147985" cy="851112"/>
              </a:xfrm>
              <a:prstGeom prst="downArrow">
                <a:avLst/>
              </a:prstGeom>
              <a:solidFill>
                <a:sysClr val="windowText" lastClr="000000"/>
              </a:solidFill>
              <a:ln w="12700" cap="flat" cmpd="sng" algn="ctr">
                <a:solidFill>
                  <a:sysClr val="windowText" lastClr="000000">
                    <a:shade val="50000"/>
                  </a:sysClr>
                </a:solidFill>
                <a:prstDash val="solid"/>
                <a:miter lim="800000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sp macro="" textlink="">
            <xdr:nvSpPr>
              <xdr:cNvPr id="54" name="四角形: 角を丸くする 53">
                <a:extLst>
                  <a:ext uri="{FF2B5EF4-FFF2-40B4-BE49-F238E27FC236}">
                    <a16:creationId xmlns:a16="http://schemas.microsoft.com/office/drawing/2014/main" id="{2AAE886D-F3FA-4399-AEA1-A38D3D357328}"/>
                  </a:ext>
                </a:extLst>
              </xdr:cNvPr>
              <xdr:cNvSpPr/>
            </xdr:nvSpPr>
            <xdr:spPr>
              <a:xfrm>
                <a:off x="3176587" y="2752725"/>
                <a:ext cx="1804670" cy="652463"/>
              </a:xfrm>
              <a:prstGeom prst="roundRect">
                <a:avLst/>
              </a:prstGeom>
              <a:solidFill>
                <a:sysClr val="window" lastClr="FFFFFF"/>
              </a:solidFill>
              <a:ln w="12700" cap="flat" cmpd="sng" algn="ctr">
                <a:solidFill>
                  <a:sysClr val="windowText" lastClr="000000"/>
                </a:solidFill>
                <a:prstDash val="solid"/>
                <a:miter lim="800000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pPr algn="ctr">
                  <a:spcAft>
                    <a:spcPts val="0"/>
                  </a:spcAft>
                </a:pPr>
                <a:r>
                  <a:rPr lang="zh-CN" sz="1050" kern="100">
                    <a:effectLst/>
                    <a:latin typeface="Century" panose="02040604050505020304" pitchFamily="18" charset="0"/>
                    <a:ea typeface="ＭＳ 明朝" panose="02020609040205080304" pitchFamily="17" charset="-128"/>
                    <a:cs typeface="Times New Roman" panose="02020603050405020304" pitchFamily="18" charset="0"/>
                  </a:rPr>
                  <a:t>岩手弁護士会</a:t>
                </a:r>
                <a:endParaRPr lang="ja-JP" sz="1050" kern="100">
                  <a:effectLst/>
                  <a:latin typeface="Century" panose="02040604050505020304" pitchFamily="18" charset="0"/>
                  <a:ea typeface="ＭＳ 明朝" panose="02020609040205080304" pitchFamily="17" charset="-128"/>
                  <a:cs typeface="Times New Roman" panose="02020603050405020304" pitchFamily="18" charset="0"/>
                </a:endParaRPr>
              </a:p>
              <a:p>
                <a:pPr algn="ctr">
                  <a:spcAft>
                    <a:spcPts val="0"/>
                  </a:spcAft>
                </a:pPr>
                <a:r>
                  <a:rPr lang="zh-CN" sz="1050" kern="100">
                    <a:effectLst/>
                    <a:latin typeface="Century" panose="02040604050505020304" pitchFamily="18" charset="0"/>
                    <a:ea typeface="ＭＳ 明朝" panose="02020609040205080304" pitchFamily="17" charset="-128"/>
                    <a:cs typeface="Times New Roman" panose="02020603050405020304" pitchFamily="18" charset="0"/>
                  </a:rPr>
                  <a:t>消費者問題対策委員会</a:t>
                </a:r>
                <a:endParaRPr lang="ja-JP" sz="1050" kern="100">
                  <a:effectLst/>
                  <a:latin typeface="Century" panose="02040604050505020304" pitchFamily="18" charset="0"/>
                  <a:ea typeface="ＭＳ 明朝" panose="02020609040205080304" pitchFamily="17" charset="-128"/>
                  <a:cs typeface="Times New Roman" panose="02020603050405020304" pitchFamily="18" charset="0"/>
                </a:endParaRPr>
              </a:p>
            </xdr:txBody>
          </xdr:sp>
          <xdr:grpSp>
            <xdr:nvGrpSpPr>
              <xdr:cNvPr id="55" name="グループ化 54">
                <a:extLst>
                  <a:ext uri="{FF2B5EF4-FFF2-40B4-BE49-F238E27FC236}">
                    <a16:creationId xmlns:a16="http://schemas.microsoft.com/office/drawing/2014/main" id="{44F3F76D-7D41-4F7A-9735-CFCD5951D7F6}"/>
                  </a:ext>
                </a:extLst>
              </xdr:cNvPr>
              <xdr:cNvGrpSpPr/>
            </xdr:nvGrpSpPr>
            <xdr:grpSpPr>
              <a:xfrm>
                <a:off x="0" y="0"/>
                <a:ext cx="5381624" cy="3429000"/>
                <a:chOff x="0" y="0"/>
                <a:chExt cx="5381624" cy="3429000"/>
              </a:xfrm>
            </xdr:grpSpPr>
            <xdr:sp macro="" textlink="">
              <xdr:nvSpPr>
                <xdr:cNvPr id="56" name="テキスト ボックス 68">
                  <a:extLst>
                    <a:ext uri="{FF2B5EF4-FFF2-40B4-BE49-F238E27FC236}">
                      <a16:creationId xmlns:a16="http://schemas.microsoft.com/office/drawing/2014/main" id="{5987B870-51E1-4AFE-8A96-A69B56621DEE}"/>
                    </a:ext>
                  </a:extLst>
                </xdr:cNvPr>
                <xdr:cNvSpPr txBox="1"/>
              </xdr:nvSpPr>
              <xdr:spPr>
                <a:xfrm>
                  <a:off x="4481512" y="2195512"/>
                  <a:ext cx="900112" cy="557212"/>
                </a:xfrm>
                <a:prstGeom prst="rect">
                  <a:avLst/>
                </a:prstGeom>
                <a:noFill/>
                <a:ln w="6350">
                  <a:noFill/>
                </a:ln>
              </xdr:spPr>
              <xdr:txBody>
                <a:bodyPr rot="0" spcFirstLastPara="0" vert="horz" wrap="square" lIns="91440" tIns="45720" rIns="91440" bIns="45720" numCol="1" spcCol="0" rtlCol="0" fromWordArt="0" anchor="t" anchorCtr="0" forceAA="0" compatLnSpc="1">
                  <a:prstTxWarp prst="textNoShape">
                    <a:avLst/>
                  </a:prstTxWarp>
                  <a:noAutofit/>
                </a:bodyPr>
                <a:lstStyle/>
                <a:p>
                  <a:pPr algn="just">
                    <a:spcAft>
                      <a:spcPts val="0"/>
                    </a:spcAft>
                  </a:pPr>
                  <a:r>
                    <a:rPr lang="ja-JP" sz="900" kern="100">
                      <a:effectLst/>
                      <a:latin typeface="Century" panose="02040604050505020304" pitchFamily="18" charset="0"/>
                      <a:ea typeface="ＭＳ 明朝" panose="02020609040205080304" pitchFamily="17" charset="-128"/>
                      <a:cs typeface="Times New Roman" panose="02020603050405020304" pitchFamily="18" charset="0"/>
                    </a:rPr>
                    <a:t>債務整理の</a:t>
                  </a:r>
                  <a:endParaRPr lang="ja-JP" sz="1050" kern="100">
                    <a:effectLst/>
                    <a:latin typeface="Century" panose="02040604050505020304" pitchFamily="18" charset="0"/>
                    <a:ea typeface="ＭＳ 明朝" panose="02020609040205080304" pitchFamily="17" charset="-128"/>
                    <a:cs typeface="Times New Roman" panose="02020603050405020304" pitchFamily="18" charset="0"/>
                  </a:endParaRPr>
                </a:p>
                <a:p>
                  <a:pPr algn="just">
                    <a:spcAft>
                      <a:spcPts val="0"/>
                    </a:spcAft>
                  </a:pPr>
                  <a:r>
                    <a:rPr lang="ja-JP" sz="900" kern="100">
                      <a:effectLst/>
                      <a:latin typeface="Century" panose="02040604050505020304" pitchFamily="18" charset="0"/>
                      <a:ea typeface="ＭＳ 明朝" panose="02020609040205080304" pitchFamily="17" charset="-128"/>
                      <a:cs typeface="Times New Roman" panose="02020603050405020304" pitchFamily="18" charset="0"/>
                    </a:rPr>
                    <a:t>依頼</a:t>
                  </a:r>
                  <a:endParaRPr lang="ja-JP" sz="1050" kern="100">
                    <a:effectLst/>
                    <a:latin typeface="Century" panose="02040604050505020304" pitchFamily="18" charset="0"/>
                    <a:ea typeface="ＭＳ 明朝" panose="02020609040205080304" pitchFamily="17" charset="-128"/>
                    <a:cs typeface="Times New Roman" panose="02020603050405020304" pitchFamily="18" charset="0"/>
                  </a:endParaRPr>
                </a:p>
              </xdr:txBody>
            </xdr:sp>
            <xdr:grpSp>
              <xdr:nvGrpSpPr>
                <xdr:cNvPr id="57" name="グループ化 56">
                  <a:extLst>
                    <a:ext uri="{FF2B5EF4-FFF2-40B4-BE49-F238E27FC236}">
                      <a16:creationId xmlns:a16="http://schemas.microsoft.com/office/drawing/2014/main" id="{18382A3C-43FC-4AA7-AF72-F5A34EAFCE07}"/>
                    </a:ext>
                  </a:extLst>
                </xdr:cNvPr>
                <xdr:cNvGrpSpPr/>
              </xdr:nvGrpSpPr>
              <xdr:grpSpPr>
                <a:xfrm>
                  <a:off x="0" y="0"/>
                  <a:ext cx="5000625" cy="3429000"/>
                  <a:chOff x="0" y="0"/>
                  <a:chExt cx="5000625" cy="3429000"/>
                </a:xfrm>
              </xdr:grpSpPr>
              <xdr:sp macro="" textlink="">
                <xdr:nvSpPr>
                  <xdr:cNvPr id="58" name="矢印: 下 57">
                    <a:extLst>
                      <a:ext uri="{FF2B5EF4-FFF2-40B4-BE49-F238E27FC236}">
                        <a16:creationId xmlns:a16="http://schemas.microsoft.com/office/drawing/2014/main" id="{F694E967-BD7A-4CC0-B965-601D3AFB17C8}"/>
                      </a:ext>
                    </a:extLst>
                  </xdr:cNvPr>
                  <xdr:cNvSpPr/>
                </xdr:nvSpPr>
                <xdr:spPr>
                  <a:xfrm>
                    <a:off x="4405312" y="2257425"/>
                    <a:ext cx="128588" cy="456883"/>
                  </a:xfrm>
                  <a:prstGeom prst="downArrow">
                    <a:avLst/>
                  </a:prstGeom>
                  <a:solidFill>
                    <a:sysClr val="windowText" lastClr="000000"/>
                  </a:solidFill>
                  <a:ln w="12700" cap="flat" cmpd="sng" algn="ctr">
                    <a:solidFill>
                      <a:sysClr val="windowText" lastClr="000000">
                        <a:shade val="50000"/>
                      </a:sysClr>
                    </a:solidFill>
                    <a:prstDash val="solid"/>
                    <a:miter lim="800000"/>
                  </a:ln>
                  <a:effectLst/>
                </xdr:spPr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endParaRPr lang="ja-JP" altLang="en-US"/>
                  </a:p>
                </xdr:txBody>
              </xdr:sp>
              <xdr:sp macro="" textlink="">
                <xdr:nvSpPr>
                  <xdr:cNvPr id="59" name="矢印: 下 58">
                    <a:extLst>
                      <a:ext uri="{FF2B5EF4-FFF2-40B4-BE49-F238E27FC236}">
                        <a16:creationId xmlns:a16="http://schemas.microsoft.com/office/drawing/2014/main" id="{CC4F6663-5AFC-4FFB-9D9C-32873AE27551}"/>
                      </a:ext>
                    </a:extLst>
                  </xdr:cNvPr>
                  <xdr:cNvSpPr/>
                </xdr:nvSpPr>
                <xdr:spPr>
                  <a:xfrm rot="17477505">
                    <a:off x="2310924" y="1600041"/>
                    <a:ext cx="136302" cy="1709484"/>
                  </a:xfrm>
                  <a:prstGeom prst="downArrow">
                    <a:avLst/>
                  </a:prstGeom>
                  <a:solidFill>
                    <a:sysClr val="windowText" lastClr="000000"/>
                  </a:solidFill>
                  <a:ln w="12700" cap="flat" cmpd="sng" algn="ctr">
                    <a:solidFill>
                      <a:sysClr val="windowText" lastClr="000000">
                        <a:shade val="50000"/>
                      </a:sysClr>
                    </a:solidFill>
                    <a:prstDash val="solid"/>
                    <a:miter lim="800000"/>
                  </a:ln>
                  <a:effectLst/>
                </xdr:spPr>
                <xdr:txBody>
                  <a:bodyPr rot="0" spcFirstLastPara="0" vert="horz" wrap="square" lIns="91440" tIns="45720" rIns="91440" bIns="45720" numCol="1" spcCol="0" rtlCol="0" fromWordArt="0" anchor="ctr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endParaRPr lang="ja-JP" altLang="en-US"/>
                  </a:p>
                </xdr:txBody>
              </xdr:sp>
              <xdr:grpSp>
                <xdr:nvGrpSpPr>
                  <xdr:cNvPr id="60" name="グループ化 59">
                    <a:extLst>
                      <a:ext uri="{FF2B5EF4-FFF2-40B4-BE49-F238E27FC236}">
                        <a16:creationId xmlns:a16="http://schemas.microsoft.com/office/drawing/2014/main" id="{3EAA99A2-9688-418F-9761-B8EE46497795}"/>
                      </a:ext>
                    </a:extLst>
                  </xdr:cNvPr>
                  <xdr:cNvGrpSpPr/>
                </xdr:nvGrpSpPr>
                <xdr:grpSpPr>
                  <a:xfrm>
                    <a:off x="0" y="0"/>
                    <a:ext cx="5000625" cy="2328545"/>
                    <a:chOff x="0" y="0"/>
                    <a:chExt cx="5000625" cy="2328545"/>
                  </a:xfrm>
                </xdr:grpSpPr>
                <xdr:sp macro="" textlink="">
                  <xdr:nvSpPr>
                    <xdr:cNvPr id="63" name="四角形: 角を丸くする 62">
                      <a:extLst>
                        <a:ext uri="{FF2B5EF4-FFF2-40B4-BE49-F238E27FC236}">
                          <a16:creationId xmlns:a16="http://schemas.microsoft.com/office/drawing/2014/main" id="{B167141B-4474-4731-8D94-6235B66E30D9}"/>
                        </a:ext>
                      </a:extLst>
                    </xdr:cNvPr>
                    <xdr:cNvSpPr/>
                  </xdr:nvSpPr>
                  <xdr:spPr>
                    <a:xfrm>
                      <a:off x="3976687" y="1704975"/>
                      <a:ext cx="1023938" cy="528320"/>
                    </a:xfrm>
                    <a:prstGeom prst="roundRect">
                      <a:avLst/>
                    </a:prstGeom>
                    <a:solidFill>
                      <a:sysClr val="window" lastClr="FFFFFF"/>
                    </a:solidFill>
                    <a:ln w="1270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  <xdr:txBody>
                    <a:bodyPr rot="0" spcFirstLastPara="0" vert="horz" wrap="square" lIns="91440" tIns="45720" rIns="91440" bIns="45720" numCol="1" spcCol="0" rtlCol="0" fromWordArt="0" anchor="ctr" anchorCtr="0" forceAA="0" compatLnSpc="1">
                      <a:prstTxWarp prst="textNoShape">
                        <a:avLst/>
                      </a:prstTxWarp>
                      <a:noAutofit/>
                    </a:bodyPr>
                    <a:lstStyle/>
                    <a:p>
                      <a:pPr algn="ctr">
                        <a:spcAft>
                          <a:spcPts val="0"/>
                        </a:spcAft>
                      </a:pPr>
                      <a:r>
                        <a:rPr lang="ja-JP" sz="1050" kern="100">
                          <a:effectLst/>
                          <a:latin typeface="Century" panose="02040604050505020304" pitchFamily="18" charset="0"/>
                          <a:ea typeface="ＭＳ 明朝" panose="02020609040205080304" pitchFamily="17" charset="-128"/>
                          <a:cs typeface="Times New Roman" panose="02020603050405020304" pitchFamily="18" charset="0"/>
                        </a:rPr>
                        <a:t>相談者</a:t>
                      </a:r>
                    </a:p>
                  </xdr:txBody>
                </xdr:sp>
                <xdr:sp macro="" textlink="">
                  <xdr:nvSpPr>
                    <xdr:cNvPr id="64" name="四角形: 角を丸くする 63">
                      <a:extLst>
                        <a:ext uri="{FF2B5EF4-FFF2-40B4-BE49-F238E27FC236}">
                          <a16:creationId xmlns:a16="http://schemas.microsoft.com/office/drawing/2014/main" id="{485C40EC-CD83-481E-97C1-D33E6551F33D}"/>
                        </a:ext>
                      </a:extLst>
                    </xdr:cNvPr>
                    <xdr:cNvSpPr/>
                  </xdr:nvSpPr>
                  <xdr:spPr>
                    <a:xfrm>
                      <a:off x="128587" y="1676400"/>
                      <a:ext cx="1409700" cy="652145"/>
                    </a:xfrm>
                    <a:prstGeom prst="roundRect">
                      <a:avLst/>
                    </a:prstGeom>
                    <a:solidFill>
                      <a:sysClr val="window" lastClr="FFFFFF"/>
                    </a:solidFill>
                    <a:ln w="12700" cap="flat" cmpd="sng" algn="ctr">
                      <a:solidFill>
                        <a:sysClr val="windowText" lastClr="000000"/>
                      </a:solidFill>
                      <a:prstDash val="solid"/>
                      <a:miter lim="800000"/>
                    </a:ln>
                    <a:effectLst/>
                  </xdr:spPr>
                  <xdr:txBody>
                    <a:bodyPr rot="0" spcFirstLastPara="0" vert="horz" wrap="square" lIns="91440" tIns="45720" rIns="91440" bIns="45720" numCol="1" spcCol="0" rtlCol="0" fromWordArt="0" anchor="ctr" anchorCtr="0" forceAA="0" compatLnSpc="1">
                      <a:prstTxWarp prst="textNoShape">
                        <a:avLst/>
                      </a:prstTxWarp>
                      <a:noAutofit/>
                    </a:bodyPr>
                    <a:lstStyle/>
                    <a:p>
                      <a:pPr algn="ctr">
                        <a:spcAft>
                          <a:spcPts val="0"/>
                        </a:spcAft>
                      </a:pPr>
                      <a:r>
                        <a:rPr lang="ja-JP" sz="1050" kern="100">
                          <a:effectLst/>
                          <a:latin typeface="Century" panose="02040604050505020304" pitchFamily="18" charset="0"/>
                          <a:ea typeface="ＭＳ 明朝" panose="02020609040205080304" pitchFamily="17" charset="-128"/>
                          <a:cs typeface="Times New Roman" panose="02020603050405020304" pitchFamily="18" charset="0"/>
                        </a:rPr>
                        <a:t>岩手県信用生協</a:t>
                      </a:r>
                    </a:p>
                  </xdr:txBody>
                </xdr:sp>
                <xdr:sp macro="" textlink="">
                  <xdr:nvSpPr>
                    <xdr:cNvPr id="65" name="矢印: 右 64">
                      <a:extLst>
                        <a:ext uri="{FF2B5EF4-FFF2-40B4-BE49-F238E27FC236}">
                          <a16:creationId xmlns:a16="http://schemas.microsoft.com/office/drawing/2014/main" id="{8F59E53F-1093-475C-BAEC-66AC6EC34DA9}"/>
                        </a:ext>
                      </a:extLst>
                    </xdr:cNvPr>
                    <xdr:cNvSpPr/>
                  </xdr:nvSpPr>
                  <xdr:spPr>
                    <a:xfrm>
                      <a:off x="1543050" y="1809750"/>
                      <a:ext cx="2414587" cy="128587"/>
                    </a:xfrm>
                    <a:prstGeom prst="rightArrow">
                      <a:avLst/>
                    </a:prstGeom>
                  </xdr:spPr>
                  <xdr:style>
                    <a:lnRef idx="2">
                      <a:schemeClr val="dk1">
                        <a:shade val="50000"/>
                      </a:schemeClr>
                    </a:lnRef>
                    <a:fillRef idx="1">
                      <a:schemeClr val="dk1"/>
                    </a:fillRef>
                    <a:effectRef idx="0">
                      <a:schemeClr val="dk1"/>
                    </a:effectRef>
                    <a:fontRef idx="minor">
                      <a:schemeClr val="lt1"/>
                    </a:fontRef>
                  </xdr:style>
                  <xdr:txBody>
                    <a:bodyPr rot="0" spcFirstLastPara="0" vert="horz" wrap="square" lIns="91440" tIns="45720" rIns="91440" bIns="45720" numCol="1" spcCol="0" rtlCol="0" fromWordArt="0" anchor="ctr" anchorCtr="0" forceAA="0" compatLnSpc="1">
                      <a:prstTxWarp prst="textNoShape">
                        <a:avLst/>
                      </a:prstTxWarp>
                      <a:noAutofit/>
                    </a:bodyPr>
                    <a:lstStyle/>
                    <a:p>
                      <a:endParaRPr lang="ja-JP" altLang="en-US"/>
                    </a:p>
                  </xdr:txBody>
                </xdr:sp>
                <xdr:sp macro="" textlink="">
                  <xdr:nvSpPr>
                    <xdr:cNvPr id="66" name="矢印: 左 65">
                      <a:extLst>
                        <a:ext uri="{FF2B5EF4-FFF2-40B4-BE49-F238E27FC236}">
                          <a16:creationId xmlns:a16="http://schemas.microsoft.com/office/drawing/2014/main" id="{BEE1BC77-4738-4000-99FA-0B8F8490C448}"/>
                        </a:ext>
                      </a:extLst>
                    </xdr:cNvPr>
                    <xdr:cNvSpPr/>
                  </xdr:nvSpPr>
                  <xdr:spPr>
                    <a:xfrm>
                      <a:off x="1552575" y="1966912"/>
                      <a:ext cx="2404745" cy="138113"/>
                    </a:xfrm>
                    <a:prstGeom prst="leftArrow">
                      <a:avLst/>
                    </a:prstGeom>
                  </xdr:spPr>
                  <xdr:style>
                    <a:lnRef idx="2">
                      <a:schemeClr val="dk1">
                        <a:shade val="50000"/>
                      </a:schemeClr>
                    </a:lnRef>
                    <a:fillRef idx="1">
                      <a:schemeClr val="dk1"/>
                    </a:fillRef>
                    <a:effectRef idx="0">
                      <a:schemeClr val="dk1"/>
                    </a:effectRef>
                    <a:fontRef idx="minor">
                      <a:schemeClr val="lt1"/>
                    </a:fontRef>
                  </xdr:style>
                  <xdr:txBody>
                    <a:bodyPr rot="0" spcFirstLastPara="0" vert="horz" wrap="square" lIns="91440" tIns="45720" rIns="91440" bIns="45720" numCol="1" spcCol="0" rtlCol="0" fromWordArt="0" anchor="ctr" anchorCtr="0" forceAA="0" compatLnSpc="1">
                      <a:prstTxWarp prst="textNoShape">
                        <a:avLst/>
                      </a:prstTxWarp>
                      <a:noAutofit/>
                    </a:bodyPr>
                    <a:lstStyle/>
                    <a:p>
                      <a:endParaRPr lang="ja-JP" altLang="en-US"/>
                    </a:p>
                  </xdr:txBody>
                </xdr:sp>
                <xdr:grpSp>
                  <xdr:nvGrpSpPr>
                    <xdr:cNvPr id="67" name="グループ化 66">
                      <a:extLst>
                        <a:ext uri="{FF2B5EF4-FFF2-40B4-BE49-F238E27FC236}">
                          <a16:creationId xmlns:a16="http://schemas.microsoft.com/office/drawing/2014/main" id="{BF71A7A9-D64D-466C-AE46-6014D3D84824}"/>
                        </a:ext>
                      </a:extLst>
                    </xdr:cNvPr>
                    <xdr:cNvGrpSpPr/>
                  </xdr:nvGrpSpPr>
                  <xdr:grpSpPr>
                    <a:xfrm>
                      <a:off x="0" y="0"/>
                      <a:ext cx="4533582" cy="1695132"/>
                      <a:chOff x="0" y="0"/>
                      <a:chExt cx="4533582" cy="1695132"/>
                    </a:xfrm>
                  </xdr:grpSpPr>
                  <xdr:sp macro="" textlink="">
                    <xdr:nvSpPr>
                      <xdr:cNvPr id="69" name="矢印: 下 68">
                        <a:extLst>
                          <a:ext uri="{FF2B5EF4-FFF2-40B4-BE49-F238E27FC236}">
                            <a16:creationId xmlns:a16="http://schemas.microsoft.com/office/drawing/2014/main" id="{4EA619F2-5633-428A-BA84-1BE470436986}"/>
                          </a:ext>
                        </a:extLst>
                      </xdr:cNvPr>
                      <xdr:cNvSpPr/>
                    </xdr:nvSpPr>
                    <xdr:spPr>
                      <a:xfrm>
                        <a:off x="4414837" y="276225"/>
                        <a:ext cx="118745" cy="1418907"/>
                      </a:xfrm>
                      <a:prstGeom prst="downArrow">
                        <a:avLst/>
                      </a:prstGeom>
                    </xdr:spPr>
                    <xdr:style>
                      <a:lnRef idx="2">
                        <a:schemeClr val="dk1">
                          <a:shade val="50000"/>
                        </a:schemeClr>
                      </a:lnRef>
                      <a:fillRef idx="1">
                        <a:schemeClr val="dk1"/>
                      </a:fillRef>
                      <a:effectRef idx="0">
                        <a:schemeClr val="dk1"/>
                      </a:effectRef>
                      <a:fontRef idx="minor">
                        <a:schemeClr val="lt1"/>
                      </a:fontRef>
                    </xdr:style>
                    <xdr:txBody>
                      <a:bodyPr rot="0" spcFirstLastPara="0" vert="horz" wrap="square" lIns="91440" tIns="45720" rIns="91440" bIns="45720" numCol="1" spcCol="0" rtlCol="0" fromWordArt="0" anchor="ctr" anchorCtr="0" forceAA="0" compatLnSpc="1">
                        <a:prstTxWarp prst="textNoShape">
                          <a:avLst/>
                        </a:prstTxWarp>
                        <a:noAutofit/>
                      </a:bodyPr>
                      <a:lstStyle/>
                      <a:p>
                        <a:endParaRPr lang="ja-JP" altLang="en-US"/>
                      </a:p>
                    </xdr:txBody>
                  </xdr:sp>
                  <xdr:sp macro="" textlink="">
                    <xdr:nvSpPr>
                      <xdr:cNvPr id="70" name="矢印: 下 69">
                        <a:extLst>
                          <a:ext uri="{FF2B5EF4-FFF2-40B4-BE49-F238E27FC236}">
                            <a16:creationId xmlns:a16="http://schemas.microsoft.com/office/drawing/2014/main" id="{365E5F99-B018-452B-8015-E904E23A6893}"/>
                          </a:ext>
                        </a:extLst>
                      </xdr:cNvPr>
                      <xdr:cNvSpPr/>
                    </xdr:nvSpPr>
                    <xdr:spPr>
                      <a:xfrm rot="4024598">
                        <a:off x="2120424" y="214470"/>
                        <a:ext cx="117356" cy="2062729"/>
                      </a:xfrm>
                      <a:prstGeom prst="downArrow">
                        <a:avLst/>
                      </a:prstGeom>
                      <a:solidFill>
                        <a:sysClr val="windowText" lastClr="000000"/>
                      </a:solidFill>
                      <a:ln w="12700" cap="flat" cmpd="sng" algn="ctr">
                        <a:solidFill>
                          <a:sysClr val="windowText" lastClr="000000">
                            <a:shade val="50000"/>
                          </a:sysClr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rot="0" spcFirstLastPara="0" vert="horz" wrap="square" lIns="91440" tIns="45720" rIns="91440" bIns="45720" numCol="1" spcCol="0" rtlCol="0" fromWordArt="0" anchor="ctr" anchorCtr="0" forceAA="0" compatLnSpc="1">
                        <a:prstTxWarp prst="textNoShape">
                          <a:avLst/>
                        </a:prstTxWarp>
                        <a:noAutofit/>
                      </a:bodyPr>
                      <a:lstStyle/>
                      <a:p>
                        <a:endParaRPr lang="ja-JP" altLang="en-US"/>
                      </a:p>
                    </xdr:txBody>
                  </xdr:sp>
                  <xdr:sp macro="" textlink="">
                    <xdr:nvSpPr>
                      <xdr:cNvPr id="71" name="四角形: 角を丸くする 70">
                        <a:extLst>
                          <a:ext uri="{FF2B5EF4-FFF2-40B4-BE49-F238E27FC236}">
                            <a16:creationId xmlns:a16="http://schemas.microsoft.com/office/drawing/2014/main" id="{4353387B-1BD4-4BFD-872A-20A966BAB2B7}"/>
                          </a:ext>
                        </a:extLst>
                      </xdr:cNvPr>
                      <xdr:cNvSpPr/>
                    </xdr:nvSpPr>
                    <xdr:spPr>
                      <a:xfrm>
                        <a:off x="3038475" y="485775"/>
                        <a:ext cx="1276350" cy="461962"/>
                      </a:xfrm>
                      <a:prstGeom prst="roundRect">
                        <a:avLst/>
                      </a:prstGeom>
                      <a:solidFill>
                        <a:sysClr val="window" lastClr="FFFFFF"/>
                      </a:solidFill>
                      <a:ln w="12700" cap="flat" cmpd="sng" algn="ctr">
                        <a:solidFill>
                          <a:sysClr val="windowText" lastClr="000000"/>
                        </a:solidFill>
                        <a:prstDash val="solid"/>
                        <a:miter lim="800000"/>
                      </a:ln>
                      <a:effectLst/>
                    </xdr:spPr>
                    <xdr:txBody>
                      <a:bodyPr rot="0" spcFirstLastPara="0" vert="horz" wrap="square" lIns="91440" tIns="45720" rIns="91440" bIns="45720" numCol="1" spcCol="0" rtlCol="0" fromWordArt="0" anchor="ctr" anchorCtr="0" forceAA="0" compatLnSpc="1">
                        <a:prstTxWarp prst="textNoShape">
                          <a:avLst/>
                        </a:prstTxWarp>
                        <a:noAutofit/>
                      </a:bodyPr>
                      <a:lstStyle/>
                      <a:p>
                        <a:pPr algn="ctr">
                          <a:spcAft>
                            <a:spcPts val="0"/>
                          </a:spcAft>
                        </a:pPr>
                        <a:r>
                          <a:rPr lang="ja-JP" sz="1050" kern="100">
                            <a:effectLst/>
                            <a:latin typeface="Century" panose="02040604050505020304" pitchFamily="18" charset="0"/>
                            <a:ea typeface="ＭＳ 明朝" panose="02020609040205080304" pitchFamily="17" charset="-128"/>
                            <a:cs typeface="Times New Roman" panose="02020603050405020304" pitchFamily="18" charset="0"/>
                          </a:rPr>
                          <a:t>地元金融機関</a:t>
                        </a:r>
                      </a:p>
                    </xdr:txBody>
                  </xdr:sp>
                  <xdr:grpSp>
                    <xdr:nvGrpSpPr>
                      <xdr:cNvPr id="72" name="グループ化 71">
                        <a:extLst>
                          <a:ext uri="{FF2B5EF4-FFF2-40B4-BE49-F238E27FC236}">
                            <a16:creationId xmlns:a16="http://schemas.microsoft.com/office/drawing/2014/main" id="{61EE5A17-C9EE-4481-953B-80B3536ED21A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0" y="0"/>
                        <a:ext cx="4461758" cy="1671637"/>
                        <a:chOff x="0" y="0"/>
                        <a:chExt cx="4461758" cy="1671637"/>
                      </a:xfrm>
                    </xdr:grpSpPr>
                    <xdr:grpSp>
                      <xdr:nvGrpSpPr>
                        <xdr:cNvPr id="74" name="グループ化 73">
                          <a:extLst>
                            <a:ext uri="{FF2B5EF4-FFF2-40B4-BE49-F238E27FC236}">
                              <a16:creationId xmlns:a16="http://schemas.microsoft.com/office/drawing/2014/main" id="{5861F0E5-02D5-4380-B0FD-864EEBD772C2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0" y="638175"/>
                          <a:ext cx="1933574" cy="1033462"/>
                          <a:chOff x="0" y="0"/>
                          <a:chExt cx="1933574" cy="1033462"/>
                        </a:xfrm>
                      </xdr:grpSpPr>
                      <xdr:sp macro="" textlink="">
                        <xdr:nvSpPr>
                          <xdr:cNvPr id="81" name="矢印: 下 80">
                            <a:extLst>
                              <a:ext uri="{FF2B5EF4-FFF2-40B4-BE49-F238E27FC236}">
                                <a16:creationId xmlns:a16="http://schemas.microsoft.com/office/drawing/2014/main" id="{2A412FD4-4428-4FA3-ACB7-47FF670C2BD0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657225" y="0"/>
                            <a:ext cx="123825" cy="1033462"/>
                          </a:xfrm>
                          <a:prstGeom prst="downArrow">
                            <a:avLst/>
                          </a:prstGeom>
                          <a:solidFill>
                            <a:sysClr val="windowText" lastClr="000000"/>
                          </a:solidFill>
                          <a:ln w="12700" cap="flat" cmpd="sng" algn="ctr">
                            <a:solidFill>
                              <a:sysClr val="windowText" lastClr="000000">
                                <a:shade val="50000"/>
                              </a:sys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  <xdr:txBody>
                          <a:bodyPr rot="0" spcFirstLastPara="0" vert="horz" wrap="square" lIns="91440" tIns="45720" rIns="91440" bIns="45720" numCol="1" spcCol="0" rtlCol="0" fromWordArt="0" anchor="ctr" anchorCtr="0" forceAA="0" compatLnSpc="1">
                            <a:prstTxWarp prst="textNoShape">
                              <a:avLst/>
                            </a:prstTxWarp>
                            <a:noAutofit/>
                          </a:bodyPr>
                          <a:lstStyle/>
                          <a:p>
                            <a:endParaRPr lang="ja-JP" altLang="en-US"/>
                          </a:p>
                        </xdr:txBody>
                      </xdr:sp>
                      <xdr:sp macro="" textlink="">
                        <xdr:nvSpPr>
                          <xdr:cNvPr id="82" name="矢印: 上 81">
                            <a:extLst>
                              <a:ext uri="{FF2B5EF4-FFF2-40B4-BE49-F238E27FC236}">
                                <a16:creationId xmlns:a16="http://schemas.microsoft.com/office/drawing/2014/main" id="{09DD5EA9-5268-4E9C-8EF3-2CDCD9457D30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504825" y="57150"/>
                            <a:ext cx="133350" cy="971232"/>
                          </a:xfrm>
                          <a:prstGeom prst="upArrow">
                            <a:avLst/>
                          </a:prstGeom>
                        </xdr:spPr>
                        <xdr:style>
                          <a:lnRef idx="2">
                            <a:schemeClr val="dk1">
                              <a:shade val="50000"/>
                            </a:schemeClr>
                          </a:lnRef>
                          <a:fillRef idx="1">
                            <a:schemeClr val="dk1"/>
                          </a:fillRef>
                          <a:effectRef idx="0">
                            <a:schemeClr val="dk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rot="0" spcFirstLastPara="0" vert="horz" wrap="square" lIns="91440" tIns="45720" rIns="91440" bIns="45720" numCol="1" spcCol="0" rtlCol="0" fromWordArt="0" anchor="ctr" anchorCtr="0" forceAA="0" compatLnSpc="1">
                            <a:prstTxWarp prst="textNoShape">
                              <a:avLst/>
                            </a:prstTxWarp>
                            <a:noAutofit/>
                          </a:bodyPr>
                          <a:lstStyle/>
                          <a:p>
                            <a:endParaRPr lang="ja-JP" altLang="en-US"/>
                          </a:p>
                        </xdr:txBody>
                      </xdr:sp>
                      <xdr:sp macro="" textlink="">
                        <xdr:nvSpPr>
                          <xdr:cNvPr id="83" name="テキスト ボックス 61">
                            <a:extLst>
                              <a:ext uri="{FF2B5EF4-FFF2-40B4-BE49-F238E27FC236}">
                                <a16:creationId xmlns:a16="http://schemas.microsoft.com/office/drawing/2014/main" id="{5EDFE2CC-3024-40AC-924E-5520C9B8907D}"/>
                              </a:ext>
                            </a:extLst>
                          </xdr:cNvPr>
                          <xdr:cNvSpPr txBox="1"/>
                        </xdr:nvSpPr>
                        <xdr:spPr>
                          <a:xfrm>
                            <a:off x="0" y="152400"/>
                            <a:ext cx="552450" cy="614363"/>
                          </a:xfrm>
                          <a:prstGeom prst="rect">
                            <a:avLst/>
                          </a:prstGeom>
                          <a:noFill/>
                          <a:ln w="6350">
                            <a:noFill/>
                          </a:ln>
                        </xdr:spPr>
                        <xdr:txBody>
                          <a:bodyPr rot="0" spcFirstLastPara="0" vert="horz" wrap="square" lIns="91440" tIns="45720" rIns="91440" bIns="45720" numCol="1" spcCol="0" rtlCol="0" fromWordArt="0" anchor="t" anchorCtr="0" forceAA="0" compatLnSpc="1">
                            <a:prstTxWarp prst="textNoShape">
                              <a:avLst/>
                            </a:prstTxWarp>
                            <a:noAutofit/>
                          </a:bodyPr>
                          <a:lstStyle/>
                          <a:p>
                            <a:pPr algn="just">
                              <a:spcAft>
                                <a:spcPts val="0"/>
                              </a:spcAft>
                            </a:pPr>
                            <a:r>
                              <a:rPr lang="ja-JP" sz="900" kern="100">
                                <a:effectLst/>
                                <a:latin typeface="Century" panose="02040604050505020304" pitchFamily="18" charset="0"/>
                                <a:ea typeface="ＭＳ 明朝" panose="02020609040205080304" pitchFamily="17" charset="-128"/>
                                <a:cs typeface="Times New Roman" panose="02020603050405020304" pitchFamily="18" charset="0"/>
                              </a:rPr>
                              <a:t>月次状況報告</a:t>
                            </a:r>
                            <a:endParaRPr lang="ja-JP" sz="1050" kern="100">
                              <a:effectLst/>
                              <a:latin typeface="Century" panose="02040604050505020304" pitchFamily="18" charset="0"/>
                              <a:ea typeface="ＭＳ 明朝" panose="02020609040205080304" pitchFamily="17" charset="-128"/>
                              <a:cs typeface="Times New Roman" panose="02020603050405020304" pitchFamily="18" charset="0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84" name="テキスト ボックス 63">
                            <a:extLst>
                              <a:ext uri="{FF2B5EF4-FFF2-40B4-BE49-F238E27FC236}">
                                <a16:creationId xmlns:a16="http://schemas.microsoft.com/office/drawing/2014/main" id="{93580A98-8645-4AFE-86EF-10F205F0F775}"/>
                              </a:ext>
                            </a:extLst>
                          </xdr:cNvPr>
                          <xdr:cNvSpPr txBox="1"/>
                        </xdr:nvSpPr>
                        <xdr:spPr>
                          <a:xfrm>
                            <a:off x="709612" y="128587"/>
                            <a:ext cx="1223962" cy="614045"/>
                          </a:xfrm>
                          <a:prstGeom prst="rect">
                            <a:avLst/>
                          </a:prstGeom>
                          <a:noFill/>
                          <a:ln w="6350">
                            <a:noFill/>
                          </a:ln>
                        </xdr:spPr>
                        <xdr:txBody>
                          <a:bodyPr rot="0" spcFirstLastPara="0" vert="horz" wrap="square" lIns="91440" tIns="45720" rIns="91440" bIns="45720" numCol="1" spcCol="0" rtlCol="0" fromWordArt="0" anchor="t" anchorCtr="0" forceAA="0" compatLnSpc="1">
                            <a:prstTxWarp prst="textNoShape">
                              <a:avLst/>
                            </a:prstTxWarp>
                            <a:noAutofit/>
                          </a:bodyPr>
                          <a:lstStyle/>
                          <a:p>
                            <a:pPr algn="just">
                              <a:spcAft>
                                <a:spcPts val="0"/>
                              </a:spcAft>
                            </a:pPr>
                            <a:r>
                              <a:rPr lang="ja-JP" sz="900" kern="100">
                                <a:effectLst/>
                                <a:latin typeface="Century" panose="02040604050505020304" pitchFamily="18" charset="0"/>
                                <a:ea typeface="ＭＳ 明朝" panose="02020609040205080304" pitchFamily="17" charset="-128"/>
                                <a:cs typeface="Times New Roman" panose="02020603050405020304" pitchFamily="18" charset="0"/>
                              </a:rPr>
                              <a:t>相談者の紹介</a:t>
                            </a:r>
                            <a:endParaRPr lang="ja-JP" sz="1050" kern="100">
                              <a:effectLst/>
                              <a:latin typeface="Century" panose="02040604050505020304" pitchFamily="18" charset="0"/>
                              <a:ea typeface="ＭＳ 明朝" panose="02020609040205080304" pitchFamily="17" charset="-128"/>
                              <a:cs typeface="Times New Roman" panose="02020603050405020304" pitchFamily="18" charset="0"/>
                            </a:endParaRPr>
                          </a:p>
                          <a:p>
                            <a:pPr algn="just">
                              <a:spcAft>
                                <a:spcPts val="0"/>
                              </a:spcAft>
                            </a:pPr>
                            <a:r>
                              <a:rPr lang="ja-JP" sz="900" kern="100">
                                <a:effectLst/>
                                <a:latin typeface="Century" panose="02040604050505020304" pitchFamily="18" charset="0"/>
                                <a:ea typeface="ＭＳ 明朝" panose="02020609040205080304" pitchFamily="17" charset="-128"/>
                                <a:cs typeface="Times New Roman" panose="02020603050405020304" pitchFamily="18" charset="0"/>
                              </a:rPr>
                              <a:t>貸付原資の預託契約</a:t>
                            </a:r>
                            <a:endParaRPr lang="ja-JP" sz="1050" kern="100">
                              <a:effectLst/>
                              <a:latin typeface="Century" panose="02040604050505020304" pitchFamily="18" charset="0"/>
                              <a:ea typeface="ＭＳ 明朝" panose="02020609040205080304" pitchFamily="17" charset="-128"/>
                              <a:cs typeface="Times New Roman" panose="02020603050405020304" pitchFamily="18" charset="0"/>
                            </a:endParaRPr>
                          </a:p>
                        </xdr:txBody>
                      </xdr:sp>
                    </xdr:grpSp>
                    <xdr:grpSp>
                      <xdr:nvGrpSpPr>
                        <xdr:cNvPr id="75" name="グループ化 74">
                          <a:extLst>
                            <a:ext uri="{FF2B5EF4-FFF2-40B4-BE49-F238E27FC236}">
                              <a16:creationId xmlns:a16="http://schemas.microsoft.com/office/drawing/2014/main" id="{6C0D2980-C8F3-436A-9EF0-7649C21FBBEB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128587" y="0"/>
                          <a:ext cx="4333171" cy="804862"/>
                          <a:chOff x="0" y="0"/>
                          <a:chExt cx="4333171" cy="804862"/>
                        </a:xfrm>
                      </xdr:grpSpPr>
                      <xdr:sp macro="" textlink="">
                        <xdr:nvSpPr>
                          <xdr:cNvPr id="76" name="矢印: 下 75">
                            <a:extLst>
                              <a:ext uri="{FF2B5EF4-FFF2-40B4-BE49-F238E27FC236}">
                                <a16:creationId xmlns:a16="http://schemas.microsoft.com/office/drawing/2014/main" id="{D9B6DFF7-0676-4505-ABAA-D8C9A1C6D832}"/>
                              </a:ext>
                            </a:extLst>
                          </xdr:cNvPr>
                          <xdr:cNvSpPr/>
                        </xdr:nvSpPr>
                        <xdr:spPr>
                          <a:xfrm rot="16831247" flipH="1">
                            <a:off x="2090738" y="-242888"/>
                            <a:ext cx="114146" cy="1545336"/>
                          </a:xfrm>
                          <a:prstGeom prst="downArrow">
                            <a:avLst/>
                          </a:prstGeom>
                          <a:solidFill>
                            <a:sysClr val="windowText" lastClr="000000"/>
                          </a:solidFill>
                          <a:ln w="12700" cap="flat" cmpd="sng" algn="ctr">
                            <a:solidFill>
                              <a:sysClr val="windowText" lastClr="000000">
                                <a:shade val="50000"/>
                              </a:sysClr>
                            </a:solidFill>
                            <a:prstDash val="solid"/>
                            <a:miter lim="800000"/>
                          </a:ln>
                          <a:effectLst/>
                        </xdr:spPr>
                        <xdr:txBody>
                          <a:bodyPr rot="0" spcFirstLastPara="0" vert="horz" wrap="square" lIns="91440" tIns="45720" rIns="91440" bIns="45720" numCol="1" spcCol="0" rtlCol="0" fromWordArt="0" anchor="ctr" anchorCtr="0" forceAA="0" compatLnSpc="1">
                            <a:prstTxWarp prst="textNoShape">
                              <a:avLst/>
                            </a:prstTxWarp>
                            <a:noAutofit/>
                          </a:bodyPr>
                          <a:lstStyle/>
                          <a:p>
                            <a:endParaRPr lang="ja-JP" altLang="en-US"/>
                          </a:p>
                        </xdr:txBody>
                      </xdr:sp>
                      <xdr:sp macro="" textlink="">
                        <xdr:nvSpPr>
                          <xdr:cNvPr id="77" name="正方形/長方形 76">
                            <a:extLst>
                              <a:ext uri="{FF2B5EF4-FFF2-40B4-BE49-F238E27FC236}">
                                <a16:creationId xmlns:a16="http://schemas.microsoft.com/office/drawing/2014/main" id="{CA526344-8D9F-4EF9-BC9E-AB6CB1E12803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1371600" y="271462"/>
                            <a:ext cx="2961571" cy="71438"/>
                          </a:xfrm>
                          <a:prstGeom prst="rect">
                            <a:avLst/>
                          </a:prstGeom>
                        </xdr:spPr>
                        <xdr:style>
                          <a:lnRef idx="2">
                            <a:schemeClr val="dk1">
                              <a:shade val="50000"/>
                            </a:schemeClr>
                          </a:lnRef>
                          <a:fillRef idx="1">
                            <a:schemeClr val="dk1"/>
                          </a:fillRef>
                          <a:effectRef idx="0">
                            <a:schemeClr val="dk1"/>
                          </a:effectRef>
                          <a:fontRef idx="minor">
                            <a:schemeClr val="lt1"/>
                          </a:fontRef>
                        </xdr:style>
                        <xdr:txBody>
                          <a:bodyPr rot="0" spcFirstLastPara="0" vert="horz" wrap="square" lIns="91440" tIns="45720" rIns="91440" bIns="45720" numCol="1" spcCol="0" rtlCol="0" fromWordArt="0" anchor="ctr" anchorCtr="0" forceAA="0" compatLnSpc="1">
                            <a:prstTxWarp prst="textNoShape">
                              <a:avLst/>
                            </a:prstTxWarp>
                            <a:noAutofit/>
                          </a:bodyPr>
                          <a:lstStyle/>
                          <a:p>
                            <a:endParaRPr lang="ja-JP" altLang="en-US"/>
                          </a:p>
                        </xdr:txBody>
                      </xdr:sp>
                      <xdr:sp macro="" textlink="">
                        <xdr:nvSpPr>
                          <xdr:cNvPr id="78" name="四角形: 角を丸くする 77">
                            <a:extLst>
                              <a:ext uri="{FF2B5EF4-FFF2-40B4-BE49-F238E27FC236}">
                                <a16:creationId xmlns:a16="http://schemas.microsoft.com/office/drawing/2014/main" id="{15B822BA-B6C2-4023-95B9-0A4C2854D0AA}"/>
                              </a:ext>
                            </a:extLst>
                          </xdr:cNvPr>
                          <xdr:cNvSpPr/>
                        </xdr:nvSpPr>
                        <xdr:spPr>
                          <a:xfrm>
                            <a:off x="0" y="14287"/>
                            <a:ext cx="1390650" cy="652145"/>
                          </a:xfrm>
                          <a:prstGeom prst="roundRect">
                            <a:avLst/>
                          </a:prstGeom>
                        </xdr:spPr>
                        <xdr:style>
                          <a:lnRef idx="2">
                            <a:schemeClr val="dk1"/>
                          </a:lnRef>
                          <a:fillRef idx="1">
                            <a:schemeClr val="lt1"/>
                          </a:fillRef>
                          <a:effectRef idx="0">
                            <a:schemeClr val="dk1"/>
                          </a:effectRef>
                          <a:fontRef idx="minor">
                            <a:schemeClr val="dk1"/>
                          </a:fontRef>
                        </xdr:style>
                        <xdr:txBody>
                          <a:bodyPr rot="0" spcFirstLastPara="0" vert="horz" wrap="square" lIns="91440" tIns="45720" rIns="91440" bIns="45720" numCol="1" spcCol="0" rtlCol="0" fromWordArt="0" anchor="ctr" anchorCtr="0" forceAA="0" compatLnSpc="1">
                            <a:prstTxWarp prst="textNoShape">
                              <a:avLst/>
                            </a:prstTxWarp>
                            <a:noAutofit/>
                          </a:bodyPr>
                          <a:lstStyle/>
                          <a:p>
                            <a:pPr algn="ctr">
                              <a:spcAft>
                                <a:spcPts val="0"/>
                              </a:spcAft>
                            </a:pPr>
                            <a:r>
                              <a:rPr lang="ja-JP" sz="1050" kern="100">
                                <a:effectLst/>
                                <a:ea typeface="ＭＳ 明朝" panose="02020609040205080304" pitchFamily="17" charset="-128"/>
                                <a:cs typeface="Times New Roman" panose="02020603050405020304" pitchFamily="18" charset="0"/>
                              </a:rPr>
                              <a:t>岩手県内</a:t>
                            </a:r>
                          </a:p>
                          <a:p>
                            <a:pPr algn="ctr">
                              <a:spcAft>
                                <a:spcPts val="0"/>
                              </a:spcAft>
                            </a:pPr>
                            <a:r>
                              <a:rPr lang="ja-JP" sz="1050" kern="100">
                                <a:effectLst/>
                                <a:ea typeface="ＭＳ 明朝" panose="02020609040205080304" pitchFamily="17" charset="-128"/>
                                <a:cs typeface="Times New Roman" panose="02020603050405020304" pitchFamily="18" charset="0"/>
                              </a:rPr>
                              <a:t>市町村</a:t>
                            </a:r>
                          </a:p>
                        </xdr:txBody>
                      </xdr:sp>
                      <xdr:sp macro="" textlink="">
                        <xdr:nvSpPr>
                          <xdr:cNvPr id="79" name="テキスト ボックス 64">
                            <a:extLst>
                              <a:ext uri="{FF2B5EF4-FFF2-40B4-BE49-F238E27FC236}">
                                <a16:creationId xmlns:a16="http://schemas.microsoft.com/office/drawing/2014/main" id="{6708E622-77F0-43DB-AEB3-7019BF33FFE9}"/>
                              </a:ext>
                            </a:extLst>
                          </xdr:cNvPr>
                          <xdr:cNvSpPr txBox="1"/>
                        </xdr:nvSpPr>
                        <xdr:spPr>
                          <a:xfrm>
                            <a:off x="2305050" y="0"/>
                            <a:ext cx="1814513" cy="276225"/>
                          </a:xfrm>
                          <a:prstGeom prst="rect">
                            <a:avLst/>
                          </a:prstGeom>
                          <a:noFill/>
                          <a:ln w="6350">
                            <a:noFill/>
                          </a:ln>
                        </xdr:spPr>
                        <xdr:txBody>
                          <a:bodyPr rot="0" spcFirstLastPara="0" vert="horz" wrap="square" lIns="91440" tIns="45720" rIns="91440" bIns="45720" numCol="1" spcCol="0" rtlCol="0" fromWordArt="0" anchor="t" anchorCtr="0" forceAA="0" compatLnSpc="1">
                            <a:prstTxWarp prst="textNoShape">
                              <a:avLst/>
                            </a:prstTxWarp>
                            <a:noAutofit/>
                          </a:bodyPr>
                          <a:lstStyle/>
                          <a:p>
                            <a:pPr algn="just">
                              <a:spcAft>
                                <a:spcPts val="0"/>
                              </a:spcAft>
                            </a:pPr>
                            <a:r>
                              <a:rPr lang="ja-JP" sz="900" kern="100">
                                <a:effectLst/>
                                <a:latin typeface="Century" panose="02040604050505020304" pitchFamily="18" charset="0"/>
                                <a:ea typeface="ＭＳ 明朝" panose="02020609040205080304" pitchFamily="17" charset="-128"/>
                                <a:cs typeface="Times New Roman" panose="02020603050405020304" pitchFamily="18" charset="0"/>
                              </a:rPr>
                              <a:t>信用生協紹介・制度説明</a:t>
                            </a:r>
                            <a:endParaRPr lang="ja-JP" sz="1050" kern="100">
                              <a:effectLst/>
                              <a:latin typeface="Century" panose="02040604050505020304" pitchFamily="18" charset="0"/>
                              <a:ea typeface="ＭＳ 明朝" panose="02020609040205080304" pitchFamily="17" charset="-128"/>
                              <a:cs typeface="Times New Roman" panose="02020603050405020304" pitchFamily="18" charset="0"/>
                            </a:endParaRPr>
                          </a:p>
                        </xdr:txBody>
                      </xdr:sp>
                      <xdr:sp macro="" textlink="">
                        <xdr:nvSpPr>
                          <xdr:cNvPr id="80" name="テキスト ボックス 65">
                            <a:extLst>
                              <a:ext uri="{FF2B5EF4-FFF2-40B4-BE49-F238E27FC236}">
                                <a16:creationId xmlns:a16="http://schemas.microsoft.com/office/drawing/2014/main" id="{F21431A3-8D2E-42EE-9634-E7EA8E291611}"/>
                              </a:ext>
                            </a:extLst>
                          </xdr:cNvPr>
                          <xdr:cNvSpPr txBox="1"/>
                        </xdr:nvSpPr>
                        <xdr:spPr>
                          <a:xfrm>
                            <a:off x="1538288" y="528637"/>
                            <a:ext cx="900112" cy="276225"/>
                          </a:xfrm>
                          <a:prstGeom prst="rect">
                            <a:avLst/>
                          </a:prstGeom>
                          <a:noFill/>
                          <a:ln w="6350">
                            <a:noFill/>
                          </a:ln>
                        </xdr:spPr>
                        <xdr:txBody>
                          <a:bodyPr rot="0" spcFirstLastPara="0" vert="horz" wrap="square" lIns="91440" tIns="45720" rIns="91440" bIns="45720" numCol="1" spcCol="0" rtlCol="0" fromWordArt="0" anchor="t" anchorCtr="0" forceAA="0" compatLnSpc="1">
                            <a:prstTxWarp prst="textNoShape">
                              <a:avLst/>
                            </a:prstTxWarp>
                            <a:noAutofit/>
                          </a:bodyPr>
                          <a:lstStyle/>
                          <a:p>
                            <a:pPr algn="just">
                              <a:spcAft>
                                <a:spcPts val="0"/>
                              </a:spcAft>
                            </a:pPr>
                            <a:r>
                              <a:rPr lang="ja-JP" sz="900" kern="100">
                                <a:effectLst/>
                                <a:latin typeface="Century" panose="02040604050505020304" pitchFamily="18" charset="0"/>
                                <a:ea typeface="ＭＳ 明朝" panose="02020609040205080304" pitchFamily="17" charset="-128"/>
                                <a:cs typeface="Times New Roman" panose="02020603050405020304" pitchFamily="18" charset="0"/>
                              </a:rPr>
                              <a:t>預託金の預託</a:t>
                            </a:r>
                            <a:endParaRPr lang="ja-JP" sz="1050" kern="100">
                              <a:effectLst/>
                              <a:latin typeface="Century" panose="02040604050505020304" pitchFamily="18" charset="0"/>
                              <a:ea typeface="ＭＳ 明朝" panose="02020609040205080304" pitchFamily="17" charset="-128"/>
                              <a:cs typeface="Times New Roman" panose="02020603050405020304" pitchFamily="18" charset="0"/>
                            </a:endParaRPr>
                          </a:p>
                        </xdr:txBody>
                      </xdr:sp>
                    </xdr:grpSp>
                  </xdr:grpSp>
                  <xdr:sp macro="" textlink="">
                    <xdr:nvSpPr>
                      <xdr:cNvPr id="73" name="テキスト ボックス 66">
                        <a:extLst>
                          <a:ext uri="{FF2B5EF4-FFF2-40B4-BE49-F238E27FC236}">
                            <a16:creationId xmlns:a16="http://schemas.microsoft.com/office/drawing/2014/main" id="{F8A68915-00AF-48A3-913A-5EA5E8E5B7FA}"/>
                          </a:ext>
                        </a:extLst>
                      </xdr:cNvPr>
                      <xdr:cNvSpPr txBox="1"/>
                    </xdr:nvSpPr>
                    <xdr:spPr>
                      <a:xfrm>
                        <a:off x="2571750" y="981075"/>
                        <a:ext cx="900112" cy="276225"/>
                      </a:xfrm>
                      <a:prstGeom prst="rect">
                        <a:avLst/>
                      </a:prstGeom>
                      <a:noFill/>
                      <a:ln w="6350">
                        <a:noFill/>
                      </a:ln>
                    </xdr:spPr>
                    <xdr:txBody>
                      <a:bodyPr rot="0" spcFirstLastPara="0" vert="horz" wrap="square" lIns="91440" tIns="45720" rIns="91440" bIns="45720" numCol="1" spcCol="0" rtlCol="0" fromWordArt="0" anchor="t" anchorCtr="0" forceAA="0" compatLnSpc="1">
                        <a:prstTxWarp prst="textNoShape">
                          <a:avLst/>
                        </a:prstTxWarp>
                        <a:noAutofit/>
                      </a:bodyPr>
                      <a:lstStyle/>
                      <a:p>
                        <a:pPr algn="just">
                          <a:spcAft>
                            <a:spcPts val="0"/>
                          </a:spcAft>
                        </a:pPr>
                        <a:r>
                          <a:rPr lang="en-US" sz="900" kern="100">
                            <a:effectLst/>
                            <a:latin typeface="Century" panose="02040604050505020304" pitchFamily="18" charset="0"/>
                            <a:ea typeface="ＭＳ 明朝" panose="02020609040205080304" pitchFamily="17" charset="-128"/>
                            <a:cs typeface="Times New Roman" panose="02020603050405020304" pitchFamily="18" charset="0"/>
                          </a:rPr>
                          <a:t>4</a:t>
                        </a:r>
                        <a:r>
                          <a:rPr lang="ja-JP" sz="900" kern="100">
                            <a:effectLst/>
                            <a:latin typeface="Century" panose="02040604050505020304" pitchFamily="18" charset="0"/>
                            <a:ea typeface="ＭＳ 明朝" panose="02020609040205080304" pitchFamily="17" charset="-128"/>
                            <a:cs typeface="Times New Roman" panose="02020603050405020304" pitchFamily="18" charset="0"/>
                          </a:rPr>
                          <a:t>倍協調融資預託金の預託</a:t>
                        </a:r>
                        <a:endParaRPr lang="ja-JP" sz="1050" kern="100">
                          <a:effectLst/>
                          <a:latin typeface="Century" panose="02040604050505020304" pitchFamily="18" charset="0"/>
                          <a:ea typeface="ＭＳ 明朝" panose="02020609040205080304" pitchFamily="17" charset="-128"/>
                          <a:cs typeface="Times New Roman" panose="02020603050405020304" pitchFamily="18" charset="0"/>
                        </a:endParaRPr>
                      </a:p>
                    </xdr:txBody>
                  </xdr:sp>
                </xdr:grpSp>
                <xdr:sp macro="" textlink="">
                  <xdr:nvSpPr>
                    <xdr:cNvPr id="68" name="テキスト ボックス 67">
                      <a:extLst>
                        <a:ext uri="{FF2B5EF4-FFF2-40B4-BE49-F238E27FC236}">
                          <a16:creationId xmlns:a16="http://schemas.microsoft.com/office/drawing/2014/main" id="{389048B2-0D2C-409A-B153-3F9B77DC7304}"/>
                        </a:ext>
                      </a:extLst>
                    </xdr:cNvPr>
                    <xdr:cNvSpPr txBox="1"/>
                  </xdr:nvSpPr>
                  <xdr:spPr>
                    <a:xfrm>
                      <a:off x="2057400" y="1338262"/>
                      <a:ext cx="2023745" cy="571500"/>
                    </a:xfrm>
                    <a:prstGeom prst="rect">
                      <a:avLst/>
                    </a:prstGeom>
                    <a:noFill/>
                    <a:ln w="6350">
                      <a:noFill/>
                    </a:ln>
                  </xdr:spPr>
                  <xdr:txBody>
                    <a:bodyPr rot="0" spcFirstLastPara="0" vert="horz" wrap="square" lIns="91440" tIns="45720" rIns="91440" bIns="45720" numCol="1" spcCol="0" rtlCol="0" fromWordArt="0" anchor="t" anchorCtr="0" forceAA="0" compatLnSpc="1">
                      <a:prstTxWarp prst="textNoShape">
                        <a:avLst/>
                      </a:prstTxWarp>
                      <a:noAutofit/>
                    </a:bodyPr>
                    <a:lstStyle/>
                    <a:p>
                      <a:pPr algn="just">
                        <a:spcAft>
                          <a:spcPts val="0"/>
                        </a:spcAft>
                      </a:pPr>
                      <a:r>
                        <a:rPr lang="ja-JP" sz="900" kern="100">
                          <a:effectLst/>
                          <a:latin typeface="Century" panose="02040604050505020304" pitchFamily="18" charset="0"/>
                          <a:ea typeface="ＭＳ 明朝" panose="02020609040205080304" pitchFamily="17" charset="-128"/>
                          <a:cs typeface="Times New Roman" panose="02020603050405020304" pitchFamily="18" charset="0"/>
                        </a:rPr>
                        <a:t>債務整理の提案・カウンセリング</a:t>
                      </a:r>
                      <a:endParaRPr lang="ja-JP" sz="1050" kern="100">
                        <a:effectLst/>
                        <a:latin typeface="Century" panose="02040604050505020304" pitchFamily="18" charset="0"/>
                        <a:ea typeface="ＭＳ 明朝" panose="02020609040205080304" pitchFamily="17" charset="-128"/>
                        <a:cs typeface="Times New Roman" panose="02020603050405020304" pitchFamily="18" charset="0"/>
                      </a:endParaRPr>
                    </a:p>
                    <a:p>
                      <a:pPr algn="just">
                        <a:spcAft>
                          <a:spcPts val="0"/>
                        </a:spcAft>
                      </a:pPr>
                      <a:r>
                        <a:rPr lang="ja-JP" sz="900" kern="100">
                          <a:effectLst/>
                          <a:latin typeface="Century" panose="02040604050505020304" pitchFamily="18" charset="0"/>
                          <a:ea typeface="ＭＳ 明朝" panose="02020609040205080304" pitchFamily="17" charset="-128"/>
                          <a:cs typeface="Times New Roman" panose="02020603050405020304" pitchFamily="18" charset="0"/>
                        </a:rPr>
                        <a:t>共済資金の融資</a:t>
                      </a:r>
                      <a:endParaRPr lang="ja-JP" sz="1050" kern="100">
                        <a:effectLst/>
                        <a:latin typeface="Century" panose="02040604050505020304" pitchFamily="18" charset="0"/>
                        <a:ea typeface="ＭＳ 明朝" panose="02020609040205080304" pitchFamily="17" charset="-128"/>
                        <a:cs typeface="Times New Roman" panose="02020603050405020304" pitchFamily="18" charset="0"/>
                      </a:endParaRPr>
                    </a:p>
                  </xdr:txBody>
                </xdr:sp>
              </xdr:grpSp>
              <xdr:sp macro="" textlink="">
                <xdr:nvSpPr>
                  <xdr:cNvPr id="61" name="テキスト ボックス 69">
                    <a:extLst>
                      <a:ext uri="{FF2B5EF4-FFF2-40B4-BE49-F238E27FC236}">
                        <a16:creationId xmlns:a16="http://schemas.microsoft.com/office/drawing/2014/main" id="{FD8366D8-8955-4827-8FE0-79D39EB81CCA}"/>
                      </a:ext>
                    </a:extLst>
                  </xdr:cNvPr>
                  <xdr:cNvSpPr txBox="1"/>
                </xdr:nvSpPr>
                <xdr:spPr>
                  <a:xfrm>
                    <a:off x="2528887" y="2252662"/>
                    <a:ext cx="1347788" cy="300037"/>
                  </a:xfrm>
                  <a:prstGeom prst="rect">
                    <a:avLst/>
                  </a:prstGeom>
                  <a:noFill/>
                  <a:ln w="6350">
                    <a:noFill/>
                  </a:ln>
                </xdr:spPr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algn="just">
                      <a:spcAft>
                        <a:spcPts val="0"/>
                      </a:spcAft>
                    </a:pPr>
                    <a:r>
                      <a:rPr lang="ja-JP" sz="900" kern="100">
                        <a:effectLst/>
                        <a:latin typeface="Century" panose="02040604050505020304" pitchFamily="18" charset="0"/>
                        <a:ea typeface="ＭＳ 明朝" panose="02020609040205080304" pitchFamily="17" charset="-128"/>
                        <a:cs typeface="Times New Roman" panose="02020603050405020304" pitchFamily="18" charset="0"/>
                      </a:rPr>
                      <a:t>債務整理の依頼</a:t>
                    </a:r>
                    <a:endParaRPr lang="ja-JP" sz="1050" kern="100">
                      <a:effectLst/>
                      <a:latin typeface="Century" panose="02040604050505020304" pitchFamily="18" charset="0"/>
                      <a:ea typeface="ＭＳ 明朝" panose="02020609040205080304" pitchFamily="17" charset="-128"/>
                      <a:cs typeface="Times New Roman" panose="02020603050405020304" pitchFamily="18" charset="0"/>
                    </a:endParaRPr>
                  </a:p>
                </xdr:txBody>
              </xdr:sp>
              <xdr:sp macro="" textlink="">
                <xdr:nvSpPr>
                  <xdr:cNvPr id="62" name="テキスト ボックス 71">
                    <a:extLst>
                      <a:ext uri="{FF2B5EF4-FFF2-40B4-BE49-F238E27FC236}">
                        <a16:creationId xmlns:a16="http://schemas.microsoft.com/office/drawing/2014/main" id="{04D572F6-A490-477A-A1C8-931C3D7575A8}"/>
                      </a:ext>
                    </a:extLst>
                  </xdr:cNvPr>
                  <xdr:cNvSpPr txBox="1"/>
                </xdr:nvSpPr>
                <xdr:spPr>
                  <a:xfrm>
                    <a:off x="147637" y="2376487"/>
                    <a:ext cx="2195513" cy="1052513"/>
                  </a:xfrm>
                  <a:prstGeom prst="rect">
                    <a:avLst/>
                  </a:prstGeom>
                  <a:noFill/>
                  <a:ln w="6350">
                    <a:noFill/>
                  </a:ln>
                </xdr:spPr>
                <xdr:txBody>
                  <a:bodyPr rot="0" spcFirstLastPara="0" vert="horz" wrap="square" lIns="91440" tIns="45720" rIns="91440" bIns="45720" numCol="1" spcCol="0" rtlCol="0" fromWordArt="0" anchor="t" anchorCtr="0" forceAA="0" compatLnSpc="1">
                    <a:prstTxWarp prst="textNoShape">
                      <a:avLst/>
                    </a:prstTxWarp>
                    <a:noAutofit/>
                  </a:bodyPr>
                  <a:lstStyle/>
                  <a:p>
                    <a:pPr algn="just">
                      <a:spcAft>
                        <a:spcPts val="0"/>
                      </a:spcAft>
                    </a:pPr>
                    <a:r>
                      <a:rPr lang="en-US" sz="900" kern="100">
                        <a:effectLst/>
                        <a:latin typeface="Century" panose="02040604050505020304" pitchFamily="18" charset="0"/>
                        <a:ea typeface="ＭＳ 明朝" panose="02020609040205080304" pitchFamily="17" charset="-128"/>
                        <a:cs typeface="Times New Roman" panose="02020603050405020304" pitchFamily="18" charset="0"/>
                      </a:rPr>
                      <a:t>1</a:t>
                    </a:r>
                    <a:r>
                      <a:rPr lang="ja-JP" sz="900" kern="100">
                        <a:effectLst/>
                        <a:latin typeface="Century" panose="02040604050505020304" pitchFamily="18" charset="0"/>
                        <a:ea typeface="ＭＳ 明朝" panose="02020609040205080304" pitchFamily="17" charset="-128"/>
                        <a:cs typeface="Times New Roman" panose="02020603050405020304" pitchFamily="18" charset="0"/>
                      </a:rPr>
                      <a:t>．消費者救済資金貸付制度の貸付業務</a:t>
                    </a:r>
                    <a:endParaRPr lang="ja-JP" sz="1050" kern="100">
                      <a:effectLst/>
                      <a:latin typeface="Century" panose="02040604050505020304" pitchFamily="18" charset="0"/>
                      <a:ea typeface="ＭＳ 明朝" panose="02020609040205080304" pitchFamily="17" charset="-128"/>
                      <a:cs typeface="Times New Roman" panose="02020603050405020304" pitchFamily="18" charset="0"/>
                    </a:endParaRPr>
                  </a:p>
                  <a:p>
                    <a:pPr algn="just">
                      <a:spcAft>
                        <a:spcPts val="0"/>
                      </a:spcAft>
                    </a:pPr>
                    <a:r>
                      <a:rPr lang="en-US" sz="900" kern="100">
                        <a:effectLst/>
                        <a:latin typeface="Century" panose="02040604050505020304" pitchFamily="18" charset="0"/>
                        <a:ea typeface="ＭＳ 明朝" panose="02020609040205080304" pitchFamily="17" charset="-128"/>
                        <a:cs typeface="Times New Roman" panose="02020603050405020304" pitchFamily="18" charset="0"/>
                      </a:rPr>
                      <a:t>2</a:t>
                    </a:r>
                    <a:r>
                      <a:rPr lang="ja-JP" sz="900" kern="100">
                        <a:effectLst/>
                        <a:latin typeface="Century" panose="02040604050505020304" pitchFamily="18" charset="0"/>
                        <a:ea typeface="ＭＳ 明朝" panose="02020609040205080304" pitchFamily="17" charset="-128"/>
                        <a:cs typeface="Times New Roman" panose="02020603050405020304" pitchFamily="18" charset="0"/>
                      </a:rPr>
                      <a:t>．解決方法の提案</a:t>
                    </a:r>
                    <a:endParaRPr lang="ja-JP" sz="1050" kern="100">
                      <a:effectLst/>
                      <a:latin typeface="Century" panose="02040604050505020304" pitchFamily="18" charset="0"/>
                      <a:ea typeface="ＭＳ 明朝" panose="02020609040205080304" pitchFamily="17" charset="-128"/>
                      <a:cs typeface="Times New Roman" panose="02020603050405020304" pitchFamily="18" charset="0"/>
                    </a:endParaRPr>
                  </a:p>
                  <a:p>
                    <a:pPr algn="just">
                      <a:spcAft>
                        <a:spcPts val="0"/>
                      </a:spcAft>
                    </a:pPr>
                    <a:r>
                      <a:rPr lang="en-US" sz="900" kern="100">
                        <a:effectLst/>
                        <a:latin typeface="Century" panose="02040604050505020304" pitchFamily="18" charset="0"/>
                        <a:ea typeface="ＭＳ 明朝" panose="02020609040205080304" pitchFamily="17" charset="-128"/>
                        <a:cs typeface="Times New Roman" panose="02020603050405020304" pitchFamily="18" charset="0"/>
                      </a:rPr>
                      <a:t>3</a:t>
                    </a:r>
                    <a:r>
                      <a:rPr lang="ja-JP" sz="900" kern="100">
                        <a:effectLst/>
                        <a:latin typeface="Century" panose="02040604050505020304" pitchFamily="18" charset="0"/>
                        <a:ea typeface="ＭＳ 明朝" panose="02020609040205080304" pitchFamily="17" charset="-128"/>
                        <a:cs typeface="Times New Roman" panose="02020603050405020304" pitchFamily="18" charset="0"/>
                      </a:rPr>
                      <a:t>．弁護士・司法書士との事前協議</a:t>
                    </a:r>
                    <a:endParaRPr lang="ja-JP" sz="1050" kern="100">
                      <a:effectLst/>
                      <a:latin typeface="Century" panose="02040604050505020304" pitchFamily="18" charset="0"/>
                      <a:ea typeface="ＭＳ 明朝" panose="02020609040205080304" pitchFamily="17" charset="-128"/>
                      <a:cs typeface="Times New Roman" panose="02020603050405020304" pitchFamily="18" charset="0"/>
                    </a:endParaRPr>
                  </a:p>
                  <a:p>
                    <a:pPr algn="just">
                      <a:spcAft>
                        <a:spcPts val="0"/>
                      </a:spcAft>
                    </a:pPr>
                    <a:r>
                      <a:rPr lang="en-US" sz="900" kern="100">
                        <a:effectLst/>
                        <a:latin typeface="Century" panose="02040604050505020304" pitchFamily="18" charset="0"/>
                        <a:ea typeface="ＭＳ 明朝" panose="02020609040205080304" pitchFamily="17" charset="-128"/>
                        <a:cs typeface="Times New Roman" panose="02020603050405020304" pitchFamily="18" charset="0"/>
                      </a:rPr>
                      <a:t>4</a:t>
                    </a:r>
                    <a:r>
                      <a:rPr lang="ja-JP" sz="900" kern="100">
                        <a:effectLst/>
                        <a:latin typeface="Century" panose="02040604050505020304" pitchFamily="18" charset="0"/>
                        <a:ea typeface="ＭＳ 明朝" panose="02020609040205080304" pitchFamily="17" charset="-128"/>
                        <a:cs typeface="Times New Roman" panose="02020603050405020304" pitchFamily="18" charset="0"/>
                      </a:rPr>
                      <a:t>．弁護士・司法書士との受任依頼</a:t>
                    </a:r>
                    <a:endParaRPr lang="ja-JP" sz="1050" kern="100">
                      <a:effectLst/>
                      <a:latin typeface="Century" panose="02040604050505020304" pitchFamily="18" charset="0"/>
                      <a:ea typeface="ＭＳ 明朝" panose="02020609040205080304" pitchFamily="17" charset="-128"/>
                      <a:cs typeface="Times New Roman" panose="02020603050405020304" pitchFamily="18" charset="0"/>
                    </a:endParaRPr>
                  </a:p>
                </xdr:txBody>
              </xdr:sp>
            </xdr:grpSp>
          </xdr:grpSp>
        </xdr:grpSp>
        <xdr:sp macro="" textlink="">
          <xdr:nvSpPr>
            <xdr:cNvPr id="52" name="テキスト ボックス 72">
              <a:extLst>
                <a:ext uri="{FF2B5EF4-FFF2-40B4-BE49-F238E27FC236}">
                  <a16:creationId xmlns:a16="http://schemas.microsoft.com/office/drawing/2014/main" id="{F8C1663E-622B-492F-B7EA-8D34445472CA}"/>
                </a:ext>
              </a:extLst>
            </xdr:cNvPr>
            <xdr:cNvSpPr txBox="1"/>
          </xdr:nvSpPr>
          <xdr:spPr>
            <a:xfrm>
              <a:off x="3143250" y="3476625"/>
              <a:ext cx="2214245" cy="795337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spcAft>
                  <a:spcPts val="0"/>
                </a:spcAft>
              </a:pPr>
              <a:r>
                <a:rPr lang="en-US" sz="900" kern="100">
                  <a:effectLst/>
                  <a:latin typeface="Century" panose="02040604050505020304" pitchFamily="18" charset="0"/>
                  <a:ea typeface="ＭＳ 明朝" panose="02020609040205080304" pitchFamily="17" charset="-128"/>
                  <a:cs typeface="Times New Roman" panose="02020603050405020304" pitchFamily="18" charset="0"/>
                </a:rPr>
                <a:t>1</a:t>
              </a:r>
              <a:r>
                <a:rPr lang="ja-JP" sz="900" kern="100">
                  <a:effectLst/>
                  <a:latin typeface="Century" panose="02040604050505020304" pitchFamily="18" charset="0"/>
                  <a:ea typeface="ＭＳ 明朝" panose="02020609040205080304" pitchFamily="17" charset="-128"/>
                  <a:cs typeface="Times New Roman" panose="02020603050405020304" pitchFamily="18" charset="0"/>
                </a:rPr>
                <a:t>．具体的解決の実施</a:t>
              </a:r>
              <a:endParaRPr lang="ja-JP" sz="1050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just">
                <a:spcAft>
                  <a:spcPts val="0"/>
                </a:spcAft>
              </a:pPr>
              <a:r>
                <a:rPr lang="ja-JP" sz="900" kern="100">
                  <a:effectLst/>
                  <a:latin typeface="Century" panose="02040604050505020304" pitchFamily="18" charset="0"/>
                  <a:ea typeface="ＭＳ 明朝" panose="02020609040205080304" pitchFamily="17" charset="-128"/>
                  <a:cs typeface="Times New Roman" panose="02020603050405020304" pitchFamily="18" charset="0"/>
                </a:rPr>
                <a:t>（任意整理・自己破産・再生法・調停）</a:t>
              </a:r>
              <a:endParaRPr lang="ja-JP" sz="1050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  <a:p>
              <a:pPr algn="just">
                <a:spcAft>
                  <a:spcPts val="0"/>
                </a:spcAft>
              </a:pPr>
              <a:r>
                <a:rPr lang="en-US" sz="900" kern="100">
                  <a:effectLst/>
                  <a:latin typeface="Century" panose="02040604050505020304" pitchFamily="18" charset="0"/>
                  <a:ea typeface="ＭＳ 明朝" panose="02020609040205080304" pitchFamily="17" charset="-128"/>
                  <a:cs typeface="Times New Roman" panose="02020603050405020304" pitchFamily="18" charset="0"/>
                </a:rPr>
                <a:t>2</a:t>
              </a:r>
              <a:r>
                <a:rPr lang="ja-JP" sz="900" kern="100">
                  <a:effectLst/>
                  <a:latin typeface="Century" panose="02040604050505020304" pitchFamily="18" charset="0"/>
                  <a:ea typeface="ＭＳ 明朝" panose="02020609040205080304" pitchFamily="17" charset="-128"/>
                  <a:cs typeface="Times New Roman" panose="02020603050405020304" pitchFamily="18" charset="0"/>
                </a:rPr>
                <a:t>．業者交渉、法的手続き</a:t>
              </a:r>
              <a:endParaRPr lang="ja-JP" sz="1050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49" name="テキスト ボックス 73">
            <a:extLst>
              <a:ext uri="{FF2B5EF4-FFF2-40B4-BE49-F238E27FC236}">
                <a16:creationId xmlns:a16="http://schemas.microsoft.com/office/drawing/2014/main" id="{6AAD350E-3C1A-4C56-A68D-582C0D2C578A}"/>
              </a:ext>
            </a:extLst>
          </xdr:cNvPr>
          <xdr:cNvSpPr txBox="1"/>
        </xdr:nvSpPr>
        <xdr:spPr>
          <a:xfrm>
            <a:off x="0" y="4371975"/>
            <a:ext cx="5433060" cy="318770"/>
          </a:xfrm>
          <a:prstGeom prst="rect">
            <a:avLst/>
          </a:prstGeom>
          <a:noFill/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just">
              <a:spcAft>
                <a:spcPts val="0"/>
              </a:spcAft>
            </a:pPr>
            <a:r>
              <a:rPr lang="ja-JP" sz="1050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出典：上田（</a:t>
            </a:r>
            <a:r>
              <a:rPr lang="en-US" sz="1050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2008</a:t>
            </a:r>
            <a:r>
              <a:rPr lang="ja-JP" sz="1050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：</a:t>
            </a:r>
            <a:r>
              <a:rPr lang="en-US" sz="1050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81</a:t>
            </a:r>
            <a:r>
              <a:rPr lang="ja-JP" sz="1050" kern="100">
                <a:effectLst/>
                <a:latin typeface="Century" panose="02040604050505020304" pitchFamily="18" charset="0"/>
                <a:ea typeface="ＭＳ 明朝" panose="02020609040205080304" pitchFamily="17" charset="-128"/>
                <a:cs typeface="Times New Roman" panose="02020603050405020304" pitchFamily="18" charset="0"/>
              </a:rPr>
              <a:t>）をもとに筆者作成</a:t>
            </a:r>
          </a:p>
        </xdr:txBody>
      </xdr:sp>
    </xdr:grpSp>
    <xdr:clientData/>
  </xdr:twoCellAnchor>
  <xdr:twoCellAnchor>
    <xdr:from>
      <xdr:col>0</xdr:col>
      <xdr:colOff>331932</xdr:colOff>
      <xdr:row>2</xdr:row>
      <xdr:rowOff>144317</xdr:rowOff>
    </xdr:from>
    <xdr:to>
      <xdr:col>8</xdr:col>
      <xdr:colOff>431220</xdr:colOff>
      <xdr:row>24</xdr:row>
      <xdr:rowOff>44193</xdr:rowOff>
    </xdr:to>
    <xdr:graphicFrame macro="">
      <xdr:nvGraphicFramePr>
        <xdr:cNvPr id="86" name="グラフ 85">
          <a:extLst>
            <a:ext uri="{FF2B5EF4-FFF2-40B4-BE49-F238E27FC236}">
              <a16:creationId xmlns:a16="http://schemas.microsoft.com/office/drawing/2014/main" id="{B0B43B8B-7045-4E59-8043-4E2788091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550229</xdr:colOff>
      <xdr:row>53</xdr:row>
      <xdr:rowOff>32366</xdr:rowOff>
    </xdr:from>
    <xdr:to>
      <xdr:col>16</xdr:col>
      <xdr:colOff>443882</xdr:colOff>
      <xdr:row>73</xdr:row>
      <xdr:rowOff>97099</xdr:rowOff>
    </xdr:to>
    <xdr:graphicFrame macro="">
      <xdr:nvGraphicFramePr>
        <xdr:cNvPr id="46" name="グラフ 45">
          <a:extLst>
            <a:ext uri="{FF2B5EF4-FFF2-40B4-BE49-F238E27FC236}">
              <a16:creationId xmlns:a16="http://schemas.microsoft.com/office/drawing/2014/main" id="{6877543B-7FE4-4800-9C0A-997260E55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53</xdr:row>
      <xdr:rowOff>0</xdr:rowOff>
    </xdr:from>
    <xdr:to>
      <xdr:col>24</xdr:col>
      <xdr:colOff>365279</xdr:colOff>
      <xdr:row>73</xdr:row>
      <xdr:rowOff>46237</xdr:rowOff>
    </xdr:to>
    <xdr:graphicFrame macro="">
      <xdr:nvGraphicFramePr>
        <xdr:cNvPr id="87" name="グラフ 86">
          <a:extLst>
            <a:ext uri="{FF2B5EF4-FFF2-40B4-BE49-F238E27FC236}">
              <a16:creationId xmlns:a16="http://schemas.microsoft.com/office/drawing/2014/main" id="{206A31EE-3E9C-40A2-8ED9-0DB38FECE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647329</xdr:colOff>
      <xdr:row>52</xdr:row>
      <xdr:rowOff>161832</xdr:rowOff>
    </xdr:from>
    <xdr:to>
      <xdr:col>32</xdr:col>
      <xdr:colOff>379149</xdr:colOff>
      <xdr:row>73</xdr:row>
      <xdr:rowOff>106345</xdr:rowOff>
    </xdr:to>
    <xdr:graphicFrame macro="">
      <xdr:nvGraphicFramePr>
        <xdr:cNvPr id="85" name="グラフ 84">
          <a:extLst>
            <a:ext uri="{FF2B5EF4-FFF2-40B4-BE49-F238E27FC236}">
              <a16:creationId xmlns:a16="http://schemas.microsoft.com/office/drawing/2014/main" id="{F5CF291B-E950-49AA-9823-6F6C6A1BE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234272</xdr:colOff>
      <xdr:row>76</xdr:row>
      <xdr:rowOff>110970</xdr:rowOff>
    </xdr:from>
    <xdr:to>
      <xdr:col>6</xdr:col>
      <xdr:colOff>206528</xdr:colOff>
      <xdr:row>96</xdr:row>
      <xdr:rowOff>157208</xdr:rowOff>
    </xdr:to>
    <xdr:graphicFrame macro="">
      <xdr:nvGraphicFramePr>
        <xdr:cNvPr id="90" name="グラフ 89">
          <a:extLst>
            <a:ext uri="{FF2B5EF4-FFF2-40B4-BE49-F238E27FC236}">
              <a16:creationId xmlns:a16="http://schemas.microsoft.com/office/drawing/2014/main" id="{9C53DAC6-DDCA-4255-B122-BF05C80D28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33</xdr:col>
      <xdr:colOff>0</xdr:colOff>
      <xdr:row>52</xdr:row>
      <xdr:rowOff>80146</xdr:rowOff>
    </xdr:from>
    <xdr:to>
      <xdr:col>41</xdr:col>
      <xdr:colOff>98640</xdr:colOff>
      <xdr:row>73</xdr:row>
      <xdr:rowOff>67815</xdr:rowOff>
    </xdr:to>
    <xdr:graphicFrame macro="">
      <xdr:nvGraphicFramePr>
        <xdr:cNvPr id="106" name="グラフ 105">
          <a:extLst>
            <a:ext uri="{FF2B5EF4-FFF2-40B4-BE49-F238E27FC236}">
              <a16:creationId xmlns:a16="http://schemas.microsoft.com/office/drawing/2014/main" id="{FB3D8F84-E7EB-4907-ABBB-9D14B49CE0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18495</xdr:colOff>
      <xdr:row>99</xdr:row>
      <xdr:rowOff>129467</xdr:rowOff>
    </xdr:from>
    <xdr:to>
      <xdr:col>6</xdr:col>
      <xdr:colOff>283592</xdr:colOff>
      <xdr:row>112</xdr:row>
      <xdr:rowOff>104807</xdr:rowOff>
    </xdr:to>
    <xdr:pic>
      <xdr:nvPicPr>
        <xdr:cNvPr id="121" name="図 120">
          <a:extLst>
            <a:ext uri="{FF2B5EF4-FFF2-40B4-BE49-F238E27FC236}">
              <a16:creationId xmlns:a16="http://schemas.microsoft.com/office/drawing/2014/main" id="{66CEA739-A7A7-4F28-BB5A-64D4D62E7203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95" y="16608642"/>
          <a:ext cx="4703932" cy="21392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100</xdr:row>
      <xdr:rowOff>1</xdr:rowOff>
    </xdr:from>
    <xdr:to>
      <xdr:col>14</xdr:col>
      <xdr:colOff>160292</xdr:colOff>
      <xdr:row>113</xdr:row>
      <xdr:rowOff>117137</xdr:rowOff>
    </xdr:to>
    <xdr:pic>
      <xdr:nvPicPr>
        <xdr:cNvPr id="124" name="図 123">
          <a:extLst>
            <a:ext uri="{FF2B5EF4-FFF2-40B4-BE49-F238E27FC236}">
              <a16:creationId xmlns:a16="http://schemas.microsoft.com/office/drawing/2014/main" id="{A23C7945-32B5-453C-BBC3-45AC1D0C418C}"/>
            </a:ext>
          </a:extLst>
        </xdr:cNvPr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9175" y="16645632"/>
          <a:ext cx="4432670" cy="22810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0</xdr:colOff>
      <xdr:row>100</xdr:row>
      <xdr:rowOff>0</xdr:rowOff>
    </xdr:from>
    <xdr:to>
      <xdr:col>22</xdr:col>
      <xdr:colOff>233476</xdr:colOff>
      <xdr:row>118</xdr:row>
      <xdr:rowOff>1516</xdr:rowOff>
    </xdr:to>
    <xdr:graphicFrame macro="">
      <xdr:nvGraphicFramePr>
        <xdr:cNvPr id="130" name="グラフ 129">
          <a:extLst>
            <a:ext uri="{FF2B5EF4-FFF2-40B4-BE49-F238E27FC236}">
              <a16:creationId xmlns:a16="http://schemas.microsoft.com/office/drawing/2014/main" id="{65636ABB-6643-4AFA-9BB5-A70BEA7BB0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536359</xdr:colOff>
      <xdr:row>76</xdr:row>
      <xdr:rowOff>92474</xdr:rowOff>
    </xdr:from>
    <xdr:to>
      <xdr:col>14</xdr:col>
      <xdr:colOff>554855</xdr:colOff>
      <xdr:row>96</xdr:row>
      <xdr:rowOff>141795</xdr:rowOff>
    </xdr:to>
    <xdr:graphicFrame macro="">
      <xdr:nvGraphicFramePr>
        <xdr:cNvPr id="92" name="グラフ 91">
          <a:extLst>
            <a:ext uri="{FF2B5EF4-FFF2-40B4-BE49-F238E27FC236}">
              <a16:creationId xmlns:a16="http://schemas.microsoft.com/office/drawing/2014/main" id="{490F7431-C10E-43C6-B269-3844ADC91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77</xdr:row>
      <xdr:rowOff>0</xdr:rowOff>
    </xdr:from>
    <xdr:to>
      <xdr:col>24</xdr:col>
      <xdr:colOff>135632</xdr:colOff>
      <xdr:row>96</xdr:row>
      <xdr:rowOff>117136</xdr:rowOff>
    </xdr:to>
    <xdr:graphicFrame macro="">
      <xdr:nvGraphicFramePr>
        <xdr:cNvPr id="94" name="グラフ 93">
          <a:extLst>
            <a:ext uri="{FF2B5EF4-FFF2-40B4-BE49-F238E27FC236}">
              <a16:creationId xmlns:a16="http://schemas.microsoft.com/office/drawing/2014/main" id="{D93E4B52-A91D-41F4-9718-530EACECC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24</xdr:col>
      <xdr:colOff>252767</xdr:colOff>
      <xdr:row>77</xdr:row>
      <xdr:rowOff>0</xdr:rowOff>
    </xdr:from>
    <xdr:to>
      <xdr:col>32</xdr:col>
      <xdr:colOff>393601</xdr:colOff>
      <xdr:row>96</xdr:row>
      <xdr:rowOff>24660</xdr:rowOff>
    </xdr:to>
    <xdr:graphicFrame macro="">
      <xdr:nvGraphicFramePr>
        <xdr:cNvPr id="96" name="グラフ 95">
          <a:extLst>
            <a:ext uri="{FF2B5EF4-FFF2-40B4-BE49-F238E27FC236}">
              <a16:creationId xmlns:a16="http://schemas.microsoft.com/office/drawing/2014/main" id="{A4ED8A2C-D36F-4966-A746-3ABCBEC8B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32</xdr:col>
      <xdr:colOff>579514</xdr:colOff>
      <xdr:row>76</xdr:row>
      <xdr:rowOff>160292</xdr:rowOff>
    </xdr:from>
    <xdr:to>
      <xdr:col>40</xdr:col>
      <xdr:colOff>505535</xdr:colOff>
      <xdr:row>96</xdr:row>
      <xdr:rowOff>12330</xdr:rowOff>
    </xdr:to>
    <xdr:graphicFrame macro="">
      <xdr:nvGraphicFramePr>
        <xdr:cNvPr id="99" name="グラフ 98">
          <a:extLst>
            <a:ext uri="{FF2B5EF4-FFF2-40B4-BE49-F238E27FC236}">
              <a16:creationId xmlns:a16="http://schemas.microsoft.com/office/drawing/2014/main" id="{8371D1C3-5EA1-420A-B9C9-C337E1A7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PO&#30740;&#31350;/&#20449;&#29992;&#29983;&#21332;&#20116;&#21313;&#24180;&#21490;/&#21407;&#31295;/&#20803;&#21407;&#31295;/&#31532;2&#31456;&#31532;2&#31680;&#20803;&#12487;&#12540;&#124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PO&#30740;&#31350;/&#20449;&#29992;&#29983;&#21332;&#20116;&#21313;&#24180;&#21490;/&#21508;&#31278;&#12487;&#12540;&#12479;/&#30456;&#35527;&#36024;&#20184;&#25512;&#3122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PO&#30740;&#31350;/&#20449;&#29992;&#29983;&#21332;&#20116;&#21313;&#24180;&#21490;/&#21508;&#31278;&#12487;&#12540;&#12479;/&#30456;&#35527;&#38598;&#35336;2020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３"/>
      <sheetName val="図４"/>
      <sheetName val="図１・２"/>
      <sheetName val="Sheet2"/>
      <sheetName val="主要経営指標グラフ"/>
      <sheetName val="期中純増減推移グラフ"/>
      <sheetName val="期末残高推移グラフ"/>
      <sheetName val="1件平均貸付額グラフ"/>
      <sheetName val="利息収入推移グラフ"/>
      <sheetName val="グラフ集"/>
      <sheetName val="Sheet3"/>
      <sheetName val="1971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</sheetNames>
    <sheetDataSet>
      <sheetData sheetId="0">
        <row r="51">
          <cell r="J51" t="str">
            <v>1981年</v>
          </cell>
          <cell r="K51" t="str">
            <v>1982年</v>
          </cell>
          <cell r="L51" t="str">
            <v>1983年</v>
          </cell>
          <cell r="M51" t="str">
            <v>1984年</v>
          </cell>
          <cell r="N51" t="str">
            <v>1985年</v>
          </cell>
          <cell r="O51" t="str">
            <v>1986年</v>
          </cell>
          <cell r="P51" t="str">
            <v>1987年</v>
          </cell>
          <cell r="Q51" t="str">
            <v>1988年</v>
          </cell>
          <cell r="R51" t="str">
            <v>1989年</v>
          </cell>
          <cell r="S51" t="str">
            <v>1990年</v>
          </cell>
          <cell r="T51" t="str">
            <v>1991年</v>
          </cell>
          <cell r="U51" t="str">
            <v>1992年</v>
          </cell>
          <cell r="V51" t="str">
            <v>1993年</v>
          </cell>
          <cell r="W51" t="str">
            <v>1994年</v>
          </cell>
          <cell r="X51" t="str">
            <v>1995年</v>
          </cell>
          <cell r="Y51" t="str">
            <v>1996年</v>
          </cell>
          <cell r="Z51" t="str">
            <v>1997年</v>
          </cell>
          <cell r="AA51" t="str">
            <v>1998年</v>
          </cell>
          <cell r="AB51" t="str">
            <v>1999年</v>
          </cell>
          <cell r="AC51" t="str">
            <v>2000年</v>
          </cell>
          <cell r="AD51" t="str">
            <v>2001年</v>
          </cell>
          <cell r="AE51" t="str">
            <v>2002年</v>
          </cell>
          <cell r="AF51" t="str">
            <v>2003年</v>
          </cell>
          <cell r="AG51" t="str">
            <v>2004年</v>
          </cell>
          <cell r="AH51" t="str">
            <v>2005年</v>
          </cell>
          <cell r="AI51" t="str">
            <v>2006年</v>
          </cell>
          <cell r="AJ51" t="str">
            <v>2007年</v>
          </cell>
          <cell r="AK51" t="str">
            <v>2008年</v>
          </cell>
          <cell r="AL51" t="str">
            <v>2009年</v>
          </cell>
          <cell r="AM51" t="str">
            <v>2010年</v>
          </cell>
          <cell r="AN51" t="str">
            <v>2011年</v>
          </cell>
          <cell r="AO51" t="str">
            <v>2012年</v>
          </cell>
          <cell r="AP51" t="str">
            <v>2013年</v>
          </cell>
          <cell r="AQ51" t="str">
            <v>2014年</v>
          </cell>
          <cell r="AR51" t="str">
            <v>2015年</v>
          </cell>
          <cell r="AS51" t="str">
            <v>2016年</v>
          </cell>
          <cell r="AT51" t="str">
            <v>2017年</v>
          </cell>
          <cell r="AU51" t="str">
            <v>2018年</v>
          </cell>
          <cell r="AV51" t="str">
            <v>2019年</v>
          </cell>
        </row>
        <row r="52">
          <cell r="I52" t="str">
            <v>貸付金に対する借入利息</v>
          </cell>
          <cell r="J52">
            <v>7.2940531381770354E-2</v>
          </cell>
          <cell r="K52">
            <v>9.2359305821477444E-2</v>
          </cell>
          <cell r="L52">
            <v>8.071599740234299E-2</v>
          </cell>
          <cell r="M52">
            <v>6.4289491675370153E-2</v>
          </cell>
          <cell r="N52">
            <v>6.1170904888096886E-2</v>
          </cell>
          <cell r="O52">
            <v>5.2158268677436677E-2</v>
          </cell>
          <cell r="P52">
            <v>3.8541989533706786E-2</v>
          </cell>
          <cell r="Q52">
            <v>3.3964785258672005E-2</v>
          </cell>
          <cell r="R52">
            <v>4.1400676666366612E-2</v>
          </cell>
          <cell r="S52">
            <v>6.3980112830046162E-2</v>
          </cell>
          <cell r="T52">
            <v>6.2935482909179094E-2</v>
          </cell>
          <cell r="U52">
            <v>4.6646325832497899E-2</v>
          </cell>
          <cell r="V52">
            <v>3.7288159707449739E-2</v>
          </cell>
          <cell r="W52">
            <v>3.3446631157683829E-2</v>
          </cell>
          <cell r="X52">
            <v>2.7740207648730867E-2</v>
          </cell>
          <cell r="Y52">
            <v>2.1080017632992075E-2</v>
          </cell>
          <cell r="Z52">
            <v>1.9556877083118273E-2</v>
          </cell>
          <cell r="AA52">
            <v>1.9181356933107487E-2</v>
          </cell>
          <cell r="AB52">
            <v>1.7293883187593343E-2</v>
          </cell>
          <cell r="AC52">
            <v>1.7655123699050208E-2</v>
          </cell>
          <cell r="AD52">
            <v>1.7006107428090847E-2</v>
          </cell>
          <cell r="AE52">
            <v>1.7332679517604768E-2</v>
          </cell>
          <cell r="AF52">
            <v>1.7669079762838099E-2</v>
          </cell>
          <cell r="AG52">
            <v>1.7401448724066109E-2</v>
          </cell>
          <cell r="AH52">
            <v>1.7746355836443344E-2</v>
          </cell>
          <cell r="AI52">
            <v>1.802437567572444E-2</v>
          </cell>
          <cell r="AJ52">
            <v>1.6956517769533514E-2</v>
          </cell>
          <cell r="AK52">
            <v>1.6511290509239579E-2</v>
          </cell>
          <cell r="AL52">
            <v>1.70482037411132E-2</v>
          </cell>
          <cell r="AM52">
            <v>1.7469878573131547E-2</v>
          </cell>
          <cell r="AN52">
            <v>1.6483082447741135E-2</v>
          </cell>
          <cell r="AO52">
            <v>1.6548231690074505E-2</v>
          </cell>
          <cell r="AP52">
            <v>1.613024642120689E-2</v>
          </cell>
          <cell r="AQ52">
            <v>1.6327424142412637E-2</v>
          </cell>
          <cell r="AR52">
            <v>1.4684136169300956E-2</v>
          </cell>
          <cell r="AS52">
            <v>1.2746410708801439E-2</v>
          </cell>
          <cell r="AT52">
            <v>1.1786886005077771E-2</v>
          </cell>
          <cell r="AU52">
            <v>1.0827172872114359E-2</v>
          </cell>
          <cell r="AV52">
            <v>1.0026575734423388E-2</v>
          </cell>
        </row>
        <row r="53">
          <cell r="I53" t="str">
            <v>貸付金に対する人件費率</v>
          </cell>
          <cell r="J53">
            <v>3.4387598553587605E-2</v>
          </cell>
          <cell r="K53">
            <v>4.8696106613331382E-2</v>
          </cell>
          <cell r="L53">
            <v>4.5978177293683191E-2</v>
          </cell>
          <cell r="M53">
            <v>3.8980465592030673E-2</v>
          </cell>
          <cell r="N53">
            <v>4.1742959703956181E-2</v>
          </cell>
          <cell r="O53">
            <v>4.3764705228199412E-2</v>
          </cell>
          <cell r="P53">
            <v>4.0309915384110766E-2</v>
          </cell>
          <cell r="Q53">
            <v>3.2629922187769431E-2</v>
          </cell>
          <cell r="R53">
            <v>3.0308312167804552E-2</v>
          </cell>
          <cell r="S53">
            <v>3.359312557619664E-2</v>
          </cell>
          <cell r="T53">
            <v>2.8074826047039529E-2</v>
          </cell>
          <cell r="U53">
            <v>2.8885257602360933E-2</v>
          </cell>
          <cell r="V53">
            <v>2.9115525355081075E-2</v>
          </cell>
          <cell r="W53">
            <v>3.2015115678841757E-2</v>
          </cell>
          <cell r="X53">
            <v>3.4610215235313296E-2</v>
          </cell>
          <cell r="Y53">
            <v>3.4893839561621239E-2</v>
          </cell>
          <cell r="Z53">
            <v>3.3091464979143323E-2</v>
          </cell>
          <cell r="AA53">
            <v>3.5686082508890701E-2</v>
          </cell>
          <cell r="AB53">
            <v>3.5072949902823496E-2</v>
          </cell>
          <cell r="AC53">
            <v>3.5950752111736178E-2</v>
          </cell>
          <cell r="AD53">
            <v>4.0296006173046274E-2</v>
          </cell>
          <cell r="AE53">
            <v>3.6206980971507888E-2</v>
          </cell>
          <cell r="AF53">
            <v>3.8447398474017278E-2</v>
          </cell>
          <cell r="AG53">
            <v>3.5448590809282823E-2</v>
          </cell>
          <cell r="AH53">
            <v>3.5887397851798349E-2</v>
          </cell>
          <cell r="AI53">
            <v>3.5515799560619066E-2</v>
          </cell>
          <cell r="AJ53">
            <v>3.578312492689744E-2</v>
          </cell>
          <cell r="AK53">
            <v>3.4169209539903315E-2</v>
          </cell>
          <cell r="AL53">
            <v>4.0007213899746354E-2</v>
          </cell>
          <cell r="AM53">
            <v>4.2216916000123665E-2</v>
          </cell>
          <cell r="AN53">
            <v>4.8821251616730739E-2</v>
          </cell>
          <cell r="AO53">
            <v>4.3891981648871037E-2</v>
          </cell>
          <cell r="AP53">
            <v>4.4562709600693362E-2</v>
          </cell>
          <cell r="AQ53">
            <v>3.5007493715814214E-2</v>
          </cell>
          <cell r="AR53">
            <v>3.2136991676210078E-2</v>
          </cell>
          <cell r="AS53">
            <v>3.776257384596729E-2</v>
          </cell>
          <cell r="AT53">
            <v>3.8162706035299164E-2</v>
          </cell>
          <cell r="AU53">
            <v>4.766779656998351E-2</v>
          </cell>
          <cell r="AV53">
            <v>5.1903765358600772E-2</v>
          </cell>
        </row>
        <row r="54">
          <cell r="I54" t="str">
            <v>貸付金に対する物件費率</v>
          </cell>
          <cell r="J54">
            <v>2.5759374903873936E-2</v>
          </cell>
          <cell r="K54">
            <v>6.0889538960370984E-2</v>
          </cell>
          <cell r="L54">
            <v>4.9372558598489796E-2</v>
          </cell>
          <cell r="M54">
            <v>5.3329817981076444E-2</v>
          </cell>
          <cell r="N54">
            <v>5.106024754675887E-2</v>
          </cell>
          <cell r="O54">
            <v>6.2412304664398628E-2</v>
          </cell>
          <cell r="P54">
            <v>4.5583282144162171E-2</v>
          </cell>
          <cell r="Q54">
            <v>3.9696219596494747E-2</v>
          </cell>
          <cell r="R54">
            <v>3.832525082715417E-2</v>
          </cell>
          <cell r="S54">
            <v>2.8503752049622605E-2</v>
          </cell>
          <cell r="T54">
            <v>2.624393635055362E-2</v>
          </cell>
          <cell r="U54">
            <v>2.8523887278202417E-2</v>
          </cell>
          <cell r="V54">
            <v>3.5630394938521687E-2</v>
          </cell>
          <cell r="W54">
            <v>4.4257113338342667E-2</v>
          </cell>
          <cell r="X54">
            <v>4.6636742410190418E-2</v>
          </cell>
          <cell r="Y54">
            <v>4.1738526886825965E-2</v>
          </cell>
          <cell r="Z54">
            <v>3.2229306640010717E-2</v>
          </cell>
          <cell r="AA54">
            <v>3.1870868282001759E-2</v>
          </cell>
          <cell r="AB54">
            <v>3.0610025241601148E-2</v>
          </cell>
          <cell r="AC54">
            <v>2.9737228064317115E-2</v>
          </cell>
          <cell r="AD54">
            <v>2.6732324897759629E-2</v>
          </cell>
          <cell r="AE54">
            <v>2.5771760408538034E-2</v>
          </cell>
          <cell r="AF54">
            <v>3.1616466404575494E-2</v>
          </cell>
          <cell r="AG54">
            <v>3.1867120549036246E-2</v>
          </cell>
          <cell r="AH54">
            <v>2.9788139961714068E-2</v>
          </cell>
          <cell r="AI54">
            <v>2.7985587496866703E-2</v>
          </cell>
          <cell r="AJ54">
            <v>3.4458148829662187E-2</v>
          </cell>
          <cell r="AK54">
            <v>2.6513561284934917E-2</v>
          </cell>
          <cell r="AL54">
            <v>2.8212084774638747E-2</v>
          </cell>
          <cell r="AM54">
            <v>2.4779798325666215E-2</v>
          </cell>
          <cell r="AN54">
            <v>2.2213805349126654E-2</v>
          </cell>
          <cell r="AO54">
            <v>2.2576384897752089E-2</v>
          </cell>
          <cell r="AP54">
            <v>2.6424992853128857E-2</v>
          </cell>
          <cell r="AQ54">
            <v>2.5191636863821462E-2</v>
          </cell>
          <cell r="AR54">
            <v>2.6960101577836897E-2</v>
          </cell>
          <cell r="AS54">
            <v>2.9119895442761706E-2</v>
          </cell>
          <cell r="AT54">
            <v>2.8095055649772358E-2</v>
          </cell>
          <cell r="AU54">
            <v>2.778720716575547E-2</v>
          </cell>
          <cell r="AV54">
            <v>3.6602889020650307E-2</v>
          </cell>
        </row>
      </sheetData>
      <sheetData sheetId="1">
        <row r="4">
          <cell r="B4" t="str">
            <v>1981年</v>
          </cell>
          <cell r="C4" t="str">
            <v>1982年</v>
          </cell>
          <cell r="D4" t="str">
            <v>1983年</v>
          </cell>
          <cell r="E4" t="str">
            <v>1984年</v>
          </cell>
          <cell r="F4" t="str">
            <v>1985年</v>
          </cell>
          <cell r="G4" t="str">
            <v>1986年</v>
          </cell>
          <cell r="H4" t="str">
            <v>1987年</v>
          </cell>
          <cell r="I4" t="str">
            <v>1988年</v>
          </cell>
          <cell r="J4" t="str">
            <v>1989年</v>
          </cell>
          <cell r="K4" t="str">
            <v>1990年</v>
          </cell>
          <cell r="L4" t="str">
            <v>1991年</v>
          </cell>
          <cell r="M4" t="str">
            <v>1992年</v>
          </cell>
          <cell r="N4" t="str">
            <v>1993年</v>
          </cell>
          <cell r="O4" t="str">
            <v>1994年</v>
          </cell>
          <cell r="P4" t="str">
            <v>1995年</v>
          </cell>
          <cell r="Q4" t="str">
            <v>1996年</v>
          </cell>
          <cell r="R4" t="str">
            <v>1997年</v>
          </cell>
          <cell r="S4" t="str">
            <v>1998年</v>
          </cell>
          <cell r="T4" t="str">
            <v>1999年</v>
          </cell>
          <cell r="U4" t="str">
            <v>2000年</v>
          </cell>
          <cell r="V4" t="str">
            <v>2001年</v>
          </cell>
          <cell r="W4" t="str">
            <v>2002年</v>
          </cell>
          <cell r="X4" t="str">
            <v>2003年</v>
          </cell>
          <cell r="Y4" t="str">
            <v>2004年</v>
          </cell>
          <cell r="Z4" t="str">
            <v>2005年</v>
          </cell>
          <cell r="AA4" t="str">
            <v>2006年</v>
          </cell>
          <cell r="AB4" t="str">
            <v>2007年</v>
          </cell>
          <cell r="AC4" t="str">
            <v>2008年</v>
          </cell>
          <cell r="AD4" t="str">
            <v>2009年</v>
          </cell>
          <cell r="AE4" t="str">
            <v>2010年</v>
          </cell>
          <cell r="AF4" t="str">
            <v>2011年</v>
          </cell>
          <cell r="AG4" t="str">
            <v>2012年</v>
          </cell>
          <cell r="AH4" t="str">
            <v>2013年</v>
          </cell>
          <cell r="AI4" t="str">
            <v>2014年</v>
          </cell>
          <cell r="AJ4" t="str">
            <v>2015年</v>
          </cell>
          <cell r="AK4" t="str">
            <v>2016年</v>
          </cell>
          <cell r="AL4" t="str">
            <v>2017年</v>
          </cell>
          <cell r="AM4" t="str">
            <v>2018年</v>
          </cell>
          <cell r="AN4" t="str">
            <v>2019年</v>
          </cell>
        </row>
        <row r="5">
          <cell r="A5" t="str">
            <v>出資金</v>
          </cell>
          <cell r="B5">
            <v>2808000</v>
          </cell>
          <cell r="C5">
            <v>5998500</v>
          </cell>
          <cell r="D5">
            <v>11698969</v>
          </cell>
          <cell r="E5">
            <v>18147500</v>
          </cell>
          <cell r="F5">
            <v>21274000</v>
          </cell>
          <cell r="G5">
            <v>24246331</v>
          </cell>
          <cell r="H5">
            <v>106193674</v>
          </cell>
          <cell r="I5">
            <v>117599803</v>
          </cell>
          <cell r="J5">
            <v>131227450</v>
          </cell>
          <cell r="K5">
            <v>138978980</v>
          </cell>
          <cell r="L5">
            <v>160903445</v>
          </cell>
          <cell r="M5">
            <v>181076991</v>
          </cell>
          <cell r="N5">
            <v>222661591</v>
          </cell>
          <cell r="O5">
            <v>256665890</v>
          </cell>
          <cell r="P5">
            <v>281799053</v>
          </cell>
          <cell r="Q5">
            <v>325628242</v>
          </cell>
          <cell r="R5">
            <v>359110500</v>
          </cell>
          <cell r="S5">
            <v>400766500</v>
          </cell>
          <cell r="T5">
            <v>456753500</v>
          </cell>
          <cell r="U5">
            <v>526283000</v>
          </cell>
          <cell r="V5">
            <v>610693000</v>
          </cell>
          <cell r="W5">
            <v>767294500</v>
          </cell>
          <cell r="X5">
            <v>898358000</v>
          </cell>
          <cell r="Y5">
            <v>998373500</v>
          </cell>
          <cell r="Z5">
            <v>1014793500</v>
          </cell>
          <cell r="AA5">
            <v>1063673000</v>
          </cell>
          <cell r="AB5">
            <v>1073210000</v>
          </cell>
          <cell r="AC5">
            <v>944397500</v>
          </cell>
          <cell r="AD5">
            <v>910822500</v>
          </cell>
          <cell r="AE5">
            <v>882198500</v>
          </cell>
          <cell r="AF5">
            <v>857604500</v>
          </cell>
          <cell r="AG5">
            <v>813657000</v>
          </cell>
          <cell r="AH5">
            <v>783969000</v>
          </cell>
          <cell r="AI5">
            <v>768776000</v>
          </cell>
          <cell r="AJ5">
            <v>815266000</v>
          </cell>
          <cell r="AK5">
            <v>757387000</v>
          </cell>
          <cell r="AL5">
            <v>730070000</v>
          </cell>
          <cell r="AM5">
            <v>700307500</v>
          </cell>
          <cell r="AN5">
            <v>676823000</v>
          </cell>
        </row>
        <row r="6">
          <cell r="A6" t="str">
            <v>剰余金</v>
          </cell>
          <cell r="B6">
            <v>7720944</v>
          </cell>
          <cell r="C6">
            <v>4912474</v>
          </cell>
          <cell r="D6">
            <v>6701831</v>
          </cell>
          <cell r="E6">
            <v>5661889</v>
          </cell>
          <cell r="F6">
            <v>6716639</v>
          </cell>
          <cell r="G6">
            <v>6275288</v>
          </cell>
          <cell r="H6">
            <v>8057146</v>
          </cell>
          <cell r="I6">
            <v>14486841</v>
          </cell>
          <cell r="J6">
            <v>15264177</v>
          </cell>
          <cell r="K6">
            <v>18943976</v>
          </cell>
          <cell r="L6">
            <v>17100574</v>
          </cell>
          <cell r="M6">
            <v>40039560</v>
          </cell>
          <cell r="N6">
            <v>58683367</v>
          </cell>
          <cell r="O6">
            <v>68707809</v>
          </cell>
          <cell r="P6">
            <v>107187895</v>
          </cell>
          <cell r="Q6">
            <v>132176267</v>
          </cell>
          <cell r="R6">
            <v>181046564</v>
          </cell>
          <cell r="S6">
            <v>223636189</v>
          </cell>
          <cell r="T6">
            <v>262129230</v>
          </cell>
          <cell r="U6">
            <v>293222673</v>
          </cell>
          <cell r="V6">
            <v>321397928</v>
          </cell>
          <cell r="W6">
            <v>379443377</v>
          </cell>
          <cell r="X6">
            <v>441066319</v>
          </cell>
          <cell r="Y6">
            <v>458929196</v>
          </cell>
          <cell r="Z6">
            <v>485045125</v>
          </cell>
          <cell r="AA6">
            <v>532630554</v>
          </cell>
          <cell r="AB6">
            <v>536411203</v>
          </cell>
          <cell r="AC6">
            <v>596461234</v>
          </cell>
          <cell r="AD6">
            <v>606555044</v>
          </cell>
          <cell r="AE6">
            <v>362713163</v>
          </cell>
          <cell r="AF6">
            <v>599959685</v>
          </cell>
          <cell r="AG6">
            <v>623020770</v>
          </cell>
          <cell r="AH6">
            <v>634730392</v>
          </cell>
          <cell r="AI6">
            <v>681419859</v>
          </cell>
          <cell r="AJ6">
            <v>709618038</v>
          </cell>
          <cell r="AK6">
            <v>721941240</v>
          </cell>
          <cell r="AL6">
            <v>741193289</v>
          </cell>
          <cell r="AM6">
            <v>780542358</v>
          </cell>
          <cell r="AN6">
            <v>794524901</v>
          </cell>
        </row>
      </sheetData>
      <sheetData sheetId="2">
        <row r="17">
          <cell r="H17">
            <v>1981</v>
          </cell>
          <cell r="I17">
            <v>1982</v>
          </cell>
          <cell r="J17">
            <v>1983</v>
          </cell>
          <cell r="K17">
            <v>1984</v>
          </cell>
          <cell r="L17">
            <v>1985</v>
          </cell>
          <cell r="M17">
            <v>1986</v>
          </cell>
          <cell r="N17">
            <v>1987</v>
          </cell>
          <cell r="O17">
            <v>1988</v>
          </cell>
          <cell r="P17">
            <v>1989</v>
          </cell>
          <cell r="Q17">
            <v>1990</v>
          </cell>
          <cell r="R17">
            <v>1991</v>
          </cell>
          <cell r="S17">
            <v>1992</v>
          </cell>
          <cell r="T17">
            <v>1993</v>
          </cell>
          <cell r="U17">
            <v>1994</v>
          </cell>
          <cell r="V17">
            <v>1995</v>
          </cell>
          <cell r="W17">
            <v>1996</v>
          </cell>
          <cell r="X17">
            <v>1997</v>
          </cell>
          <cell r="Y17">
            <v>1998</v>
          </cell>
          <cell r="Z17">
            <v>1999</v>
          </cell>
          <cell r="AA17">
            <v>2000</v>
          </cell>
          <cell r="AB17">
            <v>2001</v>
          </cell>
          <cell r="AC17">
            <v>2002</v>
          </cell>
          <cell r="AD17">
            <v>2003</v>
          </cell>
          <cell r="AE17">
            <v>2004</v>
          </cell>
          <cell r="AF17">
            <v>2005</v>
          </cell>
          <cell r="AG17">
            <v>2006</v>
          </cell>
          <cell r="AH17">
            <v>2007</v>
          </cell>
          <cell r="AI17">
            <v>2008</v>
          </cell>
          <cell r="AJ17">
            <v>2009</v>
          </cell>
          <cell r="AK17">
            <v>2010</v>
          </cell>
          <cell r="AL17">
            <v>2011</v>
          </cell>
          <cell r="AM17">
            <v>2012</v>
          </cell>
          <cell r="AN17">
            <v>2013</v>
          </cell>
          <cell r="AO17">
            <v>2014</v>
          </cell>
          <cell r="AP17">
            <v>2015</v>
          </cell>
          <cell r="AQ17">
            <v>2016</v>
          </cell>
          <cell r="AR17">
            <v>2017</v>
          </cell>
          <cell r="AS17">
            <v>2018</v>
          </cell>
          <cell r="AT17">
            <v>2019</v>
          </cell>
        </row>
        <row r="18">
          <cell r="G18" t="str">
            <v>貸付金に対する借入利息率</v>
          </cell>
          <cell r="H18">
            <v>7.2940531381770354E-2</v>
          </cell>
          <cell r="I18">
            <v>9.2359305821477444E-2</v>
          </cell>
          <cell r="J18">
            <v>8.071599740234299E-2</v>
          </cell>
          <cell r="K18">
            <v>6.4289491675370153E-2</v>
          </cell>
          <cell r="L18">
            <v>6.1170904888096886E-2</v>
          </cell>
          <cell r="M18">
            <v>5.2158268677436677E-2</v>
          </cell>
          <cell r="N18">
            <v>3.8541989533706786E-2</v>
          </cell>
          <cell r="O18">
            <v>3.3964785258672005E-2</v>
          </cell>
          <cell r="P18">
            <v>4.1400676666366612E-2</v>
          </cell>
          <cell r="Q18">
            <v>6.3980112830046162E-2</v>
          </cell>
          <cell r="R18">
            <v>6.2935482909179094E-2</v>
          </cell>
          <cell r="S18">
            <v>4.6646325832497899E-2</v>
          </cell>
          <cell r="T18">
            <v>3.7288159707449739E-2</v>
          </cell>
          <cell r="U18">
            <v>3.3446631157683829E-2</v>
          </cell>
          <cell r="V18">
            <v>2.7740207648730867E-2</v>
          </cell>
          <cell r="W18">
            <v>2.1080017632992075E-2</v>
          </cell>
          <cell r="X18">
            <v>1.9556877083118273E-2</v>
          </cell>
          <cell r="Y18">
            <v>1.9181356933107487E-2</v>
          </cell>
          <cell r="Z18">
            <v>1.7293883187593343E-2</v>
          </cell>
          <cell r="AA18">
            <v>1.7655123699050208E-2</v>
          </cell>
          <cell r="AB18">
            <v>1.7006107428090847E-2</v>
          </cell>
          <cell r="AC18">
            <v>1.7332679517604768E-2</v>
          </cell>
          <cell r="AD18">
            <v>1.7669079762838099E-2</v>
          </cell>
          <cell r="AE18">
            <v>1.7401448724066109E-2</v>
          </cell>
          <cell r="AF18">
            <v>1.7746355836443344E-2</v>
          </cell>
          <cell r="AG18">
            <v>1.802437567572444E-2</v>
          </cell>
          <cell r="AH18">
            <v>1.6956517769533514E-2</v>
          </cell>
          <cell r="AI18">
            <v>1.6511290509239579E-2</v>
          </cell>
          <cell r="AJ18">
            <v>1.70482037411132E-2</v>
          </cell>
          <cell r="AK18">
            <v>1.7469878573131547E-2</v>
          </cell>
          <cell r="AL18">
            <v>1.6483082447741135E-2</v>
          </cell>
          <cell r="AM18">
            <v>1.6548231690074505E-2</v>
          </cell>
          <cell r="AN18">
            <v>1.613024642120689E-2</v>
          </cell>
          <cell r="AO18">
            <v>1.6327424142412637E-2</v>
          </cell>
          <cell r="AP18">
            <v>1.4684136169300956E-2</v>
          </cell>
          <cell r="AQ18">
            <v>1.2746410708801439E-2</v>
          </cell>
          <cell r="AR18">
            <v>1.1786886005077771E-2</v>
          </cell>
          <cell r="AS18">
            <v>1.0827172872114359E-2</v>
          </cell>
          <cell r="AT18">
            <v>1.0026575734423388E-2</v>
          </cell>
        </row>
        <row r="19">
          <cell r="G19" t="str">
            <v>貸付金に対する人件費率</v>
          </cell>
          <cell r="H19">
            <v>3.4387598553587605E-2</v>
          </cell>
          <cell r="I19">
            <v>4.8696106613331382E-2</v>
          </cell>
          <cell r="J19">
            <v>4.5978177293683191E-2</v>
          </cell>
          <cell r="K19">
            <v>3.8980465592030673E-2</v>
          </cell>
          <cell r="L19">
            <v>4.1742959703956181E-2</v>
          </cell>
          <cell r="M19">
            <v>4.3764705228199412E-2</v>
          </cell>
          <cell r="N19">
            <v>4.0309915384110766E-2</v>
          </cell>
          <cell r="O19">
            <v>3.2629922187769431E-2</v>
          </cell>
          <cell r="P19">
            <v>3.0308312167804552E-2</v>
          </cell>
          <cell r="Q19">
            <v>3.359312557619664E-2</v>
          </cell>
          <cell r="R19">
            <v>2.8074826047039529E-2</v>
          </cell>
          <cell r="S19">
            <v>2.8885257602360933E-2</v>
          </cell>
          <cell r="T19">
            <v>2.9115525355081075E-2</v>
          </cell>
          <cell r="U19">
            <v>3.2015115678841757E-2</v>
          </cell>
          <cell r="V19">
            <v>3.4610215235313296E-2</v>
          </cell>
          <cell r="W19">
            <v>3.4893839561621239E-2</v>
          </cell>
          <cell r="X19">
            <v>3.3091464979143323E-2</v>
          </cell>
          <cell r="Y19">
            <v>3.5686082508890701E-2</v>
          </cell>
          <cell r="Z19">
            <v>3.5072949902823496E-2</v>
          </cell>
          <cell r="AA19">
            <v>3.5950752111736178E-2</v>
          </cell>
          <cell r="AB19">
            <v>4.0296006173046274E-2</v>
          </cell>
          <cell r="AC19">
            <v>3.6206980971507888E-2</v>
          </cell>
          <cell r="AD19">
            <v>3.8447398474017278E-2</v>
          </cell>
          <cell r="AE19">
            <v>3.5448590809282823E-2</v>
          </cell>
          <cell r="AF19">
            <v>3.5887397851798349E-2</v>
          </cell>
          <cell r="AG19">
            <v>3.5515799560619066E-2</v>
          </cell>
          <cell r="AH19">
            <v>3.578312492689744E-2</v>
          </cell>
          <cell r="AI19">
            <v>3.4169209539903315E-2</v>
          </cell>
          <cell r="AJ19">
            <v>4.0007213899746354E-2</v>
          </cell>
          <cell r="AK19">
            <v>4.2216916000123665E-2</v>
          </cell>
          <cell r="AL19">
            <v>4.8821251616730739E-2</v>
          </cell>
          <cell r="AM19">
            <v>4.3891981648871037E-2</v>
          </cell>
          <cell r="AN19">
            <v>4.4562709600693362E-2</v>
          </cell>
          <cell r="AO19">
            <v>3.5007493715814214E-2</v>
          </cell>
          <cell r="AP19">
            <v>3.2136991676210078E-2</v>
          </cell>
          <cell r="AQ19">
            <v>3.776257384596729E-2</v>
          </cell>
          <cell r="AR19">
            <v>3.8162706035299164E-2</v>
          </cell>
          <cell r="AS19">
            <v>4.766779656998351E-2</v>
          </cell>
          <cell r="AT19">
            <v>5.1903765358600772E-2</v>
          </cell>
        </row>
        <row r="20">
          <cell r="G20" t="str">
            <v>貸付金に対する物件費率</v>
          </cell>
          <cell r="H20">
            <v>2.5759374903873936E-2</v>
          </cell>
          <cell r="I20">
            <v>6.0889538960370984E-2</v>
          </cell>
          <cell r="J20">
            <v>4.9372558598489796E-2</v>
          </cell>
          <cell r="K20">
            <v>5.3329817981076444E-2</v>
          </cell>
          <cell r="L20">
            <v>5.106024754675887E-2</v>
          </cell>
          <cell r="M20">
            <v>6.2412304664398628E-2</v>
          </cell>
          <cell r="N20">
            <v>4.5583282144162171E-2</v>
          </cell>
          <cell r="O20">
            <v>3.9696219596494747E-2</v>
          </cell>
          <cell r="P20">
            <v>3.832525082715417E-2</v>
          </cell>
          <cell r="Q20">
            <v>2.8503752049622605E-2</v>
          </cell>
          <cell r="R20">
            <v>2.624393635055362E-2</v>
          </cell>
          <cell r="S20">
            <v>2.8523887278202417E-2</v>
          </cell>
          <cell r="T20">
            <v>3.5630394938521687E-2</v>
          </cell>
          <cell r="U20">
            <v>4.4257113338342667E-2</v>
          </cell>
          <cell r="V20">
            <v>4.6636742410190418E-2</v>
          </cell>
          <cell r="W20">
            <v>4.1738526886825965E-2</v>
          </cell>
          <cell r="X20">
            <v>3.2229306640010717E-2</v>
          </cell>
          <cell r="Y20">
            <v>3.1870868282001759E-2</v>
          </cell>
          <cell r="Z20">
            <v>3.0610025241601148E-2</v>
          </cell>
          <cell r="AA20">
            <v>2.9737228064317115E-2</v>
          </cell>
          <cell r="AB20">
            <v>2.6732324897759629E-2</v>
          </cell>
          <cell r="AC20">
            <v>2.5771760408538034E-2</v>
          </cell>
          <cell r="AD20">
            <v>3.1616466404575494E-2</v>
          </cell>
          <cell r="AE20">
            <v>3.1867120549036246E-2</v>
          </cell>
          <cell r="AF20">
            <v>2.9788139961714068E-2</v>
          </cell>
          <cell r="AG20">
            <v>2.7985587496866703E-2</v>
          </cell>
          <cell r="AH20">
            <v>3.4458148829662187E-2</v>
          </cell>
          <cell r="AI20">
            <v>2.6513561284934917E-2</v>
          </cell>
          <cell r="AJ20">
            <v>2.8212084774638747E-2</v>
          </cell>
          <cell r="AK20">
            <v>2.4779798325666215E-2</v>
          </cell>
          <cell r="AL20">
            <v>2.2213805349126654E-2</v>
          </cell>
          <cell r="AM20">
            <v>2.2576384897752089E-2</v>
          </cell>
          <cell r="AN20">
            <v>2.6424992853128857E-2</v>
          </cell>
          <cell r="AO20">
            <v>2.5191636863821462E-2</v>
          </cell>
          <cell r="AP20">
            <v>2.6960101577836897E-2</v>
          </cell>
          <cell r="AQ20">
            <v>2.9119895442761706E-2</v>
          </cell>
          <cell r="AR20">
            <v>2.8095055649772358E-2</v>
          </cell>
          <cell r="AS20">
            <v>2.778720716575547E-2</v>
          </cell>
          <cell r="AT20">
            <v>3.6602889020650307E-2</v>
          </cell>
        </row>
        <row r="24">
          <cell r="B24" t="str">
            <v>1981年</v>
          </cell>
          <cell r="C24" t="str">
            <v>1982年</v>
          </cell>
          <cell r="D24" t="str">
            <v>1983年</v>
          </cell>
          <cell r="E24" t="str">
            <v>1984年</v>
          </cell>
          <cell r="F24" t="str">
            <v>1985年</v>
          </cell>
          <cell r="G24" t="str">
            <v>1986年</v>
          </cell>
          <cell r="H24" t="str">
            <v>1987年</v>
          </cell>
          <cell r="I24" t="str">
            <v>1988年</v>
          </cell>
          <cell r="J24" t="str">
            <v>1989年</v>
          </cell>
          <cell r="K24" t="str">
            <v>1990年</v>
          </cell>
          <cell r="L24" t="str">
            <v>1991年</v>
          </cell>
          <cell r="M24" t="str">
            <v>1992年</v>
          </cell>
          <cell r="N24" t="str">
            <v>1993年</v>
          </cell>
          <cell r="O24" t="str">
            <v>1994年</v>
          </cell>
          <cell r="P24" t="str">
            <v>1995年</v>
          </cell>
          <cell r="Q24" t="str">
            <v>1996年</v>
          </cell>
          <cell r="R24" t="str">
            <v>1997年</v>
          </cell>
          <cell r="S24" t="str">
            <v>1998年</v>
          </cell>
          <cell r="T24" t="str">
            <v>1999年</v>
          </cell>
          <cell r="U24" t="str">
            <v>2000年</v>
          </cell>
          <cell r="V24" t="str">
            <v>2001年</v>
          </cell>
          <cell r="W24" t="str">
            <v>2002年</v>
          </cell>
          <cell r="X24" t="str">
            <v>2003年</v>
          </cell>
          <cell r="Y24" t="str">
            <v>2004年</v>
          </cell>
          <cell r="Z24" t="str">
            <v>2005年</v>
          </cell>
          <cell r="AA24" t="str">
            <v>2006年</v>
          </cell>
          <cell r="AB24" t="str">
            <v>2007年</v>
          </cell>
          <cell r="AC24" t="str">
            <v>2008年</v>
          </cell>
          <cell r="AD24" t="str">
            <v>2009年</v>
          </cell>
          <cell r="AE24" t="str">
            <v>2010年</v>
          </cell>
          <cell r="AF24" t="str">
            <v>2011年</v>
          </cell>
          <cell r="AG24" t="str">
            <v>2012年</v>
          </cell>
          <cell r="AH24" t="str">
            <v>2013年</v>
          </cell>
          <cell r="AI24" t="str">
            <v>2014年</v>
          </cell>
          <cell r="AJ24" t="str">
            <v>2015年</v>
          </cell>
          <cell r="AK24" t="str">
            <v>2016年</v>
          </cell>
          <cell r="AL24" t="str">
            <v>2017年</v>
          </cell>
          <cell r="AM24" t="str">
            <v>2018年</v>
          </cell>
          <cell r="AN24" t="str">
            <v>2019年</v>
          </cell>
        </row>
        <row r="25">
          <cell r="A25" t="str">
            <v>貸付金に対する経常剰余金比率</v>
          </cell>
          <cell r="B25">
            <v>3.9501913479514664E-2</v>
          </cell>
          <cell r="C25">
            <v>4.6146823115624609E-3</v>
          </cell>
          <cell r="D25">
            <v>6.2862026297266678E-3</v>
          </cell>
          <cell r="E25">
            <v>7.7178713781380455E-3</v>
          </cell>
          <cell r="F25">
            <v>7.6465956109351141E-3</v>
          </cell>
          <cell r="G25">
            <v>4.0593212168597761E-3</v>
          </cell>
          <cell r="H25">
            <v>1.2600457085571917E-2</v>
          </cell>
          <cell r="I25">
            <v>1.4635996373382828E-2</v>
          </cell>
          <cell r="J25">
            <v>9.6793599375679957E-3</v>
          </cell>
          <cell r="K25">
            <v>5.1315891324640473E-3</v>
          </cell>
          <cell r="L25">
            <v>3.8681727513896697E-3</v>
          </cell>
          <cell r="M25">
            <v>1.5965517185402327E-2</v>
          </cell>
          <cell r="N25">
            <v>2.4933540563428967E-2</v>
          </cell>
          <cell r="O25">
            <v>1.3450978962519436E-2</v>
          </cell>
          <cell r="P25">
            <v>2.4625045753360397E-2</v>
          </cell>
          <cell r="Q25">
            <v>2.2893582177944322E-2</v>
          </cell>
          <cell r="R25">
            <v>3.1590727627729603E-2</v>
          </cell>
          <cell r="S25">
            <v>2.9551829718630851E-2</v>
          </cell>
          <cell r="T25">
            <v>2.7503384080809243E-2</v>
          </cell>
          <cell r="U25">
            <v>2.1465447317744867E-2</v>
          </cell>
          <cell r="V25">
            <v>1.9147123387347545E-2</v>
          </cell>
          <cell r="W25">
            <v>2.3211629038859531E-2</v>
          </cell>
          <cell r="X25">
            <v>2.1946874546733799E-2</v>
          </cell>
          <cell r="Y25">
            <v>1.3230525063371679E-2</v>
          </cell>
          <cell r="Z25">
            <v>1.5582347504709198E-2</v>
          </cell>
          <cell r="AA25">
            <v>1.6383187533752803E-2</v>
          </cell>
          <cell r="AB25">
            <v>9.0207166840873803E-3</v>
          </cell>
          <cell r="AC25">
            <v>1.8192905842275911E-2</v>
          </cell>
          <cell r="AD25">
            <v>1.0218631557853909E-2</v>
          </cell>
          <cell r="AE25">
            <v>1.1829845550456913E-2</v>
          </cell>
          <cell r="AF25">
            <v>9.192351096721136E-3</v>
          </cell>
          <cell r="AG25">
            <v>1.3856408098250658E-2</v>
          </cell>
          <cell r="AH25">
            <v>6.4492727443526939E-3</v>
          </cell>
          <cell r="AI25">
            <v>2.1961214254914662E-2</v>
          </cell>
          <cell r="AJ25">
            <v>1.8163686726870191E-2</v>
          </cell>
          <cell r="AK25">
            <v>1.1946111424429159E-2</v>
          </cell>
          <cell r="AL25">
            <v>1.6419072836893811E-2</v>
          </cell>
          <cell r="AM25">
            <v>2.9846415949593724E-2</v>
          </cell>
          <cell r="AN25">
            <v>2.1240044436427654E-3</v>
          </cell>
        </row>
        <row r="26">
          <cell r="A26" t="str">
            <v>貸付金に対する事業剰余金比率</v>
          </cell>
          <cell r="B26">
            <v>4.3953673225199122E-2</v>
          </cell>
          <cell r="C26">
            <v>3.6356938286919551E-3</v>
          </cell>
          <cell r="D26">
            <v>-1.3159687851432079E-3</v>
          </cell>
          <cell r="E26">
            <v>-1.4844203516093289E-3</v>
          </cell>
          <cell r="F26">
            <v>3.4966787889645972E-3</v>
          </cell>
          <cell r="G26">
            <v>-4.9676959264398635E-3</v>
          </cell>
          <cell r="H26">
            <v>3.421275629567312E-3</v>
          </cell>
          <cell r="I26">
            <v>9.5804303503112913E-3</v>
          </cell>
          <cell r="J26">
            <v>7.607376890973014E-3</v>
          </cell>
          <cell r="K26">
            <v>-9.9385179775986839E-4</v>
          </cell>
          <cell r="L26">
            <v>3.2936126664662173E-3</v>
          </cell>
          <cell r="M26">
            <v>1.6970240778406889E-2</v>
          </cell>
          <cell r="N26">
            <v>2.5369551983311363E-2</v>
          </cell>
          <cell r="O26">
            <v>1.2270404443151159E-2</v>
          </cell>
          <cell r="P26">
            <v>2.315831251328624E-2</v>
          </cell>
          <cell r="Q26">
            <v>2.0867264471140984E-2</v>
          </cell>
          <cell r="R26">
            <v>3.1523395257553037E-2</v>
          </cell>
          <cell r="S26">
            <v>2.7763729556216515E-2</v>
          </cell>
          <cell r="T26">
            <v>2.6149223915811863E-2</v>
          </cell>
          <cell r="U26">
            <v>2.1086856667290758E-2</v>
          </cell>
          <cell r="V26">
            <v>1.8870841739510293E-2</v>
          </cell>
          <cell r="W26">
            <v>2.162295814343505E-2</v>
          </cell>
          <cell r="X26">
            <v>2.0993474446598524E-2</v>
          </cell>
          <cell r="Y26">
            <v>1.2473484198133152E-2</v>
          </cell>
          <cell r="Z26">
            <v>1.4941097662169788E-2</v>
          </cell>
          <cell r="AA26">
            <v>1.4928288353377017E-2</v>
          </cell>
          <cell r="AB26">
            <v>8.6503103185459531E-3</v>
          </cell>
          <cell r="AC26">
            <v>1.7709320712436485E-2</v>
          </cell>
          <cell r="AD26">
            <v>8.3317973319735686E-3</v>
          </cell>
          <cell r="AE26">
            <v>9.2521998746995411E-3</v>
          </cell>
          <cell r="AF26">
            <v>5.1902492694082978E-3</v>
          </cell>
          <cell r="AG26">
            <v>9.5945537767366806E-3</v>
          </cell>
          <cell r="AH26">
            <v>2.8388500451646216E-3</v>
          </cell>
          <cell r="AI26">
            <v>1.8710272160725384E-2</v>
          </cell>
          <cell r="AJ26">
            <v>1.6117710006570904E-2</v>
          </cell>
          <cell r="AK26">
            <v>9.3628957625903914E-3</v>
          </cell>
          <cell r="AL26">
            <v>1.1410239323312577E-2</v>
          </cell>
          <cell r="AM26">
            <v>2.2396907875163611E-3</v>
          </cell>
          <cell r="AN26">
            <v>-7.7785265334758043E-3</v>
          </cell>
        </row>
        <row r="28">
          <cell r="AA28" t="str">
            <v>2006年</v>
          </cell>
          <cell r="AB28" t="str">
            <v>2007年</v>
          </cell>
          <cell r="AC28" t="str">
            <v>2008年</v>
          </cell>
          <cell r="AD28" t="str">
            <v>2009年</v>
          </cell>
          <cell r="AE28" t="str">
            <v>2010年</v>
          </cell>
          <cell r="AF28" t="str">
            <v>2011年</v>
          </cell>
          <cell r="AG28" t="str">
            <v>2012年</v>
          </cell>
          <cell r="AH28" t="str">
            <v>2013年</v>
          </cell>
          <cell r="AI28" t="str">
            <v>2014年</v>
          </cell>
          <cell r="AJ28" t="str">
            <v>2015年</v>
          </cell>
          <cell r="AK28" t="str">
            <v>2016年</v>
          </cell>
          <cell r="AL28" t="str">
            <v>2017年</v>
          </cell>
          <cell r="AM28" t="str">
            <v>2018年</v>
          </cell>
        </row>
        <row r="29">
          <cell r="Z29" t="str">
            <v>償却率</v>
          </cell>
          <cell r="AA29">
            <v>0.25</v>
          </cell>
          <cell r="AB29">
            <v>0.31</v>
          </cell>
          <cell r="AC29">
            <v>0.46</v>
          </cell>
          <cell r="AD29">
            <v>0.78</v>
          </cell>
          <cell r="AE29">
            <v>0.97</v>
          </cell>
          <cell r="AF29">
            <v>1.1200000000000001</v>
          </cell>
          <cell r="AG29">
            <v>0.28999999999999998</v>
          </cell>
          <cell r="AH29">
            <v>0.36</v>
          </cell>
          <cell r="AI29">
            <v>0.43</v>
          </cell>
          <cell r="AJ29">
            <v>0.34</v>
          </cell>
          <cell r="AK29">
            <v>0.1</v>
          </cell>
          <cell r="AL29">
            <v>0.53</v>
          </cell>
          <cell r="AM29">
            <v>0.1</v>
          </cell>
        </row>
        <row r="31">
          <cell r="B31" t="str">
            <v>1981年</v>
          </cell>
          <cell r="C31" t="str">
            <v>1982年</v>
          </cell>
          <cell r="D31" t="str">
            <v>1983年</v>
          </cell>
          <cell r="E31" t="str">
            <v>1984年</v>
          </cell>
          <cell r="F31" t="str">
            <v>1985年</v>
          </cell>
          <cell r="G31" t="str">
            <v>1986年</v>
          </cell>
          <cell r="H31" t="str">
            <v>1987年</v>
          </cell>
          <cell r="I31" t="str">
            <v>1988年</v>
          </cell>
          <cell r="J31" t="str">
            <v>1989年</v>
          </cell>
          <cell r="K31" t="str">
            <v>1990年</v>
          </cell>
          <cell r="L31" t="str">
            <v>1991年</v>
          </cell>
          <cell r="M31" t="str">
            <v>1992年</v>
          </cell>
          <cell r="N31" t="str">
            <v>1993年</v>
          </cell>
          <cell r="O31" t="str">
            <v>1994年</v>
          </cell>
          <cell r="P31" t="str">
            <v>1995年</v>
          </cell>
          <cell r="Q31" t="str">
            <v>1996年</v>
          </cell>
          <cell r="R31" t="str">
            <v>1997年</v>
          </cell>
          <cell r="S31" t="str">
            <v>1998年</v>
          </cell>
          <cell r="T31" t="str">
            <v>1999年</v>
          </cell>
          <cell r="U31" t="str">
            <v>2000年</v>
          </cell>
          <cell r="V31" t="str">
            <v>2001年</v>
          </cell>
          <cell r="W31" t="str">
            <v>2002年</v>
          </cell>
          <cell r="X31" t="str">
            <v>2003年</v>
          </cell>
          <cell r="Y31" t="str">
            <v>2004年</v>
          </cell>
          <cell r="Z31" t="str">
            <v>2005年</v>
          </cell>
          <cell r="AA31" t="str">
            <v>2006年</v>
          </cell>
          <cell r="AB31" t="str">
            <v>2007年</v>
          </cell>
          <cell r="AC31" t="str">
            <v>2008年</v>
          </cell>
          <cell r="AD31" t="str">
            <v>2009年</v>
          </cell>
          <cell r="AE31" t="str">
            <v>2010年</v>
          </cell>
          <cell r="AF31" t="str">
            <v>2011年</v>
          </cell>
          <cell r="AG31" t="str">
            <v>2012年</v>
          </cell>
          <cell r="AH31" t="str">
            <v>2013年</v>
          </cell>
          <cell r="AI31" t="str">
            <v>2014年</v>
          </cell>
          <cell r="AJ31" t="str">
            <v>2015年</v>
          </cell>
          <cell r="AK31" t="str">
            <v>2016年</v>
          </cell>
          <cell r="AL31" t="str">
            <v>2017年</v>
          </cell>
          <cell r="AM31" t="str">
            <v>2018年</v>
          </cell>
          <cell r="AN31" t="str">
            <v>2019年</v>
          </cell>
        </row>
        <row r="32">
          <cell r="A32" t="str">
            <v>短期貸付金</v>
          </cell>
          <cell r="B32">
            <v>210117433</v>
          </cell>
          <cell r="C32">
            <v>340906414</v>
          </cell>
          <cell r="D32">
            <v>462114153</v>
          </cell>
          <cell r="E32">
            <v>605317992</v>
          </cell>
          <cell r="F32">
            <v>610811443</v>
          </cell>
          <cell r="G32">
            <v>548117784</v>
          </cell>
          <cell r="H32">
            <v>977261801</v>
          </cell>
          <cell r="I32">
            <v>1148075293</v>
          </cell>
          <cell r="J32">
            <v>1336722065</v>
          </cell>
          <cell r="K32">
            <v>1574665736</v>
          </cell>
          <cell r="L32">
            <v>1909467695</v>
          </cell>
          <cell r="M32">
            <v>2233860907</v>
          </cell>
          <cell r="N32">
            <v>2564628088</v>
          </cell>
          <cell r="O32">
            <v>2932720782</v>
          </cell>
          <cell r="P32">
            <v>3060330824</v>
          </cell>
          <cell r="Q32">
            <v>3581582216</v>
          </cell>
          <cell r="R32">
            <v>4003922329</v>
          </cell>
          <cell r="S32">
            <v>4102242138</v>
          </cell>
          <cell r="T32">
            <v>4585975330</v>
          </cell>
          <cell r="U32">
            <v>5415534204</v>
          </cell>
          <cell r="V32">
            <v>6058496101</v>
          </cell>
          <cell r="W32">
            <v>6925468079</v>
          </cell>
          <cell r="X32">
            <v>7566202310</v>
          </cell>
          <cell r="Y32">
            <v>7970472842</v>
          </cell>
          <cell r="Z32">
            <v>7839237083</v>
          </cell>
          <cell r="AA32">
            <v>7465974646</v>
          </cell>
          <cell r="AB32">
            <v>7115508024</v>
          </cell>
          <cell r="AC32">
            <v>6167948401</v>
          </cell>
          <cell r="AD32">
            <v>5334141026</v>
          </cell>
          <cell r="AE32">
            <v>4947628206</v>
          </cell>
          <cell r="AF32">
            <v>4557057492</v>
          </cell>
          <cell r="AG32">
            <v>4070098489</v>
          </cell>
          <cell r="AH32">
            <v>3495128155</v>
          </cell>
          <cell r="AI32">
            <v>3141588026</v>
          </cell>
          <cell r="AJ32">
            <v>2815395687</v>
          </cell>
          <cell r="AK32">
            <v>2434952629</v>
          </cell>
          <cell r="AL32">
            <v>2104718322</v>
          </cell>
          <cell r="AM32">
            <v>1894483733</v>
          </cell>
          <cell r="AN32">
            <v>1781689367</v>
          </cell>
        </row>
        <row r="33">
          <cell r="A33" t="str">
            <v>短期借入金</v>
          </cell>
          <cell r="B33">
            <v>272600000</v>
          </cell>
          <cell r="C33">
            <v>321550000</v>
          </cell>
          <cell r="D33">
            <v>393657000</v>
          </cell>
          <cell r="E33">
            <v>604980400</v>
          </cell>
          <cell r="F33">
            <v>645000000</v>
          </cell>
          <cell r="G33">
            <v>590000000</v>
          </cell>
          <cell r="H33">
            <v>905000000</v>
          </cell>
          <cell r="I33">
            <v>1058099869</v>
          </cell>
          <cell r="J33">
            <v>1261886480</v>
          </cell>
          <cell r="K33">
            <v>1420160735</v>
          </cell>
          <cell r="L33">
            <v>1694146360</v>
          </cell>
          <cell r="M33">
            <v>1979916857</v>
          </cell>
          <cell r="N33">
            <v>2235884261</v>
          </cell>
          <cell r="O33">
            <v>2643455535</v>
          </cell>
          <cell r="P33">
            <v>2719527471</v>
          </cell>
          <cell r="Q33">
            <v>3153997281</v>
          </cell>
          <cell r="R33">
            <v>3500310515</v>
          </cell>
          <cell r="S33">
            <v>3552011194</v>
          </cell>
          <cell r="T33">
            <v>3935335449</v>
          </cell>
          <cell r="U33">
            <v>4214754287</v>
          </cell>
          <cell r="V33">
            <v>4862000000</v>
          </cell>
          <cell r="W33">
            <v>5393531577</v>
          </cell>
          <cell r="X33">
            <v>5722201988</v>
          </cell>
          <cell r="Y33">
            <v>6169460796</v>
          </cell>
          <cell r="Z33">
            <v>6025694408</v>
          </cell>
          <cell r="AA33">
            <v>5707401544</v>
          </cell>
          <cell r="AB33">
            <v>5209257778</v>
          </cell>
          <cell r="AC33">
            <v>4768492682</v>
          </cell>
          <cell r="AD33">
            <v>4479998866</v>
          </cell>
          <cell r="AE33">
            <v>3911871805</v>
          </cell>
          <cell r="AF33">
            <v>3500290961</v>
          </cell>
          <cell r="AG33">
            <v>3142982057</v>
          </cell>
          <cell r="AH33">
            <v>2615026484</v>
          </cell>
          <cell r="AI33">
            <v>2287394117</v>
          </cell>
          <cell r="AJ33">
            <v>1873861231</v>
          </cell>
          <cell r="AK33">
            <v>1548811522</v>
          </cell>
          <cell r="AL33">
            <v>1268932009</v>
          </cell>
          <cell r="AM33">
            <v>1058581768</v>
          </cell>
          <cell r="AN33">
            <v>966677007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K2" t="str">
            <v>2002年度</v>
          </cell>
          <cell r="L2" t="str">
            <v>2003年度</v>
          </cell>
          <cell r="M2" t="str">
            <v>2004年度</v>
          </cell>
          <cell r="N2" t="str">
            <v>2005年度</v>
          </cell>
          <cell r="O2" t="str">
            <v>2006年度</v>
          </cell>
          <cell r="P2" t="str">
            <v>2007年度</v>
          </cell>
          <cell r="Q2" t="str">
            <v>2008年度</v>
          </cell>
          <cell r="R2" t="str">
            <v>2009年度</v>
          </cell>
          <cell r="S2" t="str">
            <v>2010年度</v>
          </cell>
        </row>
        <row r="21">
          <cell r="A21" t="str">
            <v>合計</v>
          </cell>
          <cell r="K21">
            <v>4667</v>
          </cell>
          <cell r="L21">
            <v>4706</v>
          </cell>
          <cell r="M21">
            <v>5072</v>
          </cell>
          <cell r="N21">
            <v>5020</v>
          </cell>
          <cell r="O21">
            <v>5132</v>
          </cell>
          <cell r="P21">
            <v>5037</v>
          </cell>
          <cell r="Q21">
            <v>5415</v>
          </cell>
          <cell r="R21">
            <v>4347</v>
          </cell>
          <cell r="S21">
            <v>4465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職業"/>
      <sheetName val="編集"/>
      <sheetName val="年収"/>
      <sheetName val="年代"/>
      <sheetName val="性別"/>
      <sheetName val="借入動機"/>
    </sheetNames>
    <sheetDataSet>
      <sheetData sheetId="0"/>
      <sheetData sheetId="1">
        <row r="34">
          <cell r="B34" t="str">
            <v>1991</v>
          </cell>
          <cell r="C34" t="str">
            <v>1992</v>
          </cell>
          <cell r="D34" t="str">
            <v>1993</v>
          </cell>
          <cell r="E34" t="str">
            <v>1994</v>
          </cell>
          <cell r="F34" t="str">
            <v>1995</v>
          </cell>
          <cell r="G34" t="str">
            <v>1996</v>
          </cell>
          <cell r="H34" t="str">
            <v>1997</v>
          </cell>
          <cell r="I34" t="str">
            <v>1998</v>
          </cell>
          <cell r="J34" t="str">
            <v>1999</v>
          </cell>
          <cell r="K34" t="str">
            <v>2000</v>
          </cell>
          <cell r="L34" t="str">
            <v>2001</v>
          </cell>
          <cell r="M34" t="str">
            <v>2002</v>
          </cell>
          <cell r="N34" t="str">
            <v>2003</v>
          </cell>
          <cell r="O34" t="str">
            <v>2004</v>
          </cell>
          <cell r="P34" t="str">
            <v>2005</v>
          </cell>
          <cell r="R34" t="str">
            <v>2006</v>
          </cell>
          <cell r="S34" t="str">
            <v>2007</v>
          </cell>
          <cell r="T34" t="str">
            <v>2008</v>
          </cell>
          <cell r="U34" t="str">
            <v>2009</v>
          </cell>
          <cell r="V34" t="str">
            <v>2010</v>
          </cell>
          <cell r="W34" t="str">
            <v>2011</v>
          </cell>
          <cell r="X34" t="str">
            <v>2012</v>
          </cell>
          <cell r="Y34" t="str">
            <v>2013</v>
          </cell>
          <cell r="Z34" t="str">
            <v>2014</v>
          </cell>
          <cell r="AA34" t="str">
            <v>2015</v>
          </cell>
          <cell r="AB34" t="str">
            <v>2016</v>
          </cell>
          <cell r="AC34" t="str">
            <v>2017</v>
          </cell>
          <cell r="AD34" t="str">
            <v>2018</v>
          </cell>
          <cell r="AE34" t="str">
            <v>2019</v>
          </cell>
        </row>
        <row r="35">
          <cell r="A35" t="str">
            <v>1～200</v>
          </cell>
          <cell r="B35">
            <v>272</v>
          </cell>
          <cell r="C35">
            <v>294</v>
          </cell>
          <cell r="D35">
            <v>341</v>
          </cell>
          <cell r="E35">
            <v>269</v>
          </cell>
          <cell r="F35">
            <v>333</v>
          </cell>
          <cell r="G35">
            <v>332</v>
          </cell>
          <cell r="H35">
            <v>434</v>
          </cell>
          <cell r="I35">
            <v>392</v>
          </cell>
          <cell r="J35">
            <v>432</v>
          </cell>
          <cell r="K35">
            <v>568</v>
          </cell>
          <cell r="L35">
            <v>1041</v>
          </cell>
          <cell r="M35">
            <v>1599</v>
          </cell>
          <cell r="N35">
            <v>1957</v>
          </cell>
          <cell r="O35">
            <v>1871</v>
          </cell>
          <cell r="P35">
            <v>1893</v>
          </cell>
          <cell r="Q35" t="str">
            <v>1～200</v>
          </cell>
          <cell r="R35">
            <v>1903</v>
          </cell>
          <cell r="S35">
            <v>1856</v>
          </cell>
          <cell r="T35">
            <v>1526</v>
          </cell>
          <cell r="U35">
            <v>1269</v>
          </cell>
          <cell r="V35">
            <v>1876</v>
          </cell>
          <cell r="W35">
            <v>1639</v>
          </cell>
          <cell r="X35">
            <v>1277</v>
          </cell>
          <cell r="Y35">
            <v>1051</v>
          </cell>
          <cell r="Z35">
            <v>933</v>
          </cell>
          <cell r="AA35">
            <v>874</v>
          </cell>
          <cell r="AB35">
            <v>810</v>
          </cell>
          <cell r="AC35">
            <v>741</v>
          </cell>
          <cell r="AD35">
            <v>681</v>
          </cell>
          <cell r="AE35">
            <v>564</v>
          </cell>
        </row>
        <row r="36">
          <cell r="A36" t="str">
            <v>201～250</v>
          </cell>
          <cell r="B36">
            <v>168</v>
          </cell>
          <cell r="C36">
            <v>162</v>
          </cell>
          <cell r="D36">
            <v>143</v>
          </cell>
          <cell r="E36">
            <v>141</v>
          </cell>
          <cell r="F36">
            <v>146</v>
          </cell>
          <cell r="G36">
            <v>211</v>
          </cell>
          <cell r="H36">
            <v>199</v>
          </cell>
          <cell r="I36">
            <v>218</v>
          </cell>
          <cell r="J36">
            <v>263</v>
          </cell>
          <cell r="K36">
            <v>290</v>
          </cell>
          <cell r="L36">
            <v>507</v>
          </cell>
          <cell r="M36">
            <v>543</v>
          </cell>
          <cell r="N36">
            <v>655</v>
          </cell>
          <cell r="O36">
            <v>704</v>
          </cell>
          <cell r="P36">
            <v>658</v>
          </cell>
          <cell r="Q36" t="str">
            <v>201～250</v>
          </cell>
          <cell r="R36">
            <v>679</v>
          </cell>
          <cell r="S36">
            <v>669</v>
          </cell>
          <cell r="T36">
            <v>551</v>
          </cell>
          <cell r="U36">
            <v>401</v>
          </cell>
          <cell r="V36">
            <v>594</v>
          </cell>
          <cell r="W36">
            <v>494</v>
          </cell>
          <cell r="X36">
            <v>463</v>
          </cell>
          <cell r="Y36">
            <v>381</v>
          </cell>
          <cell r="Z36">
            <v>354</v>
          </cell>
          <cell r="AA36">
            <v>307</v>
          </cell>
          <cell r="AB36">
            <v>306</v>
          </cell>
          <cell r="AC36">
            <v>278</v>
          </cell>
          <cell r="AD36">
            <v>276</v>
          </cell>
          <cell r="AE36">
            <v>237</v>
          </cell>
        </row>
        <row r="37">
          <cell r="A37" t="str">
            <v>251～300</v>
          </cell>
          <cell r="B37">
            <v>149</v>
          </cell>
          <cell r="C37">
            <v>181</v>
          </cell>
          <cell r="D37">
            <v>200</v>
          </cell>
          <cell r="E37">
            <v>213</v>
          </cell>
          <cell r="F37">
            <v>237</v>
          </cell>
          <cell r="G37">
            <v>302</v>
          </cell>
          <cell r="H37">
            <v>296</v>
          </cell>
          <cell r="I37">
            <v>272</v>
          </cell>
          <cell r="J37">
            <v>300</v>
          </cell>
          <cell r="K37">
            <v>353</v>
          </cell>
          <cell r="L37">
            <v>459</v>
          </cell>
          <cell r="M37">
            <v>553</v>
          </cell>
          <cell r="N37">
            <v>605</v>
          </cell>
          <cell r="O37">
            <v>592</v>
          </cell>
          <cell r="P37">
            <v>585</v>
          </cell>
          <cell r="Q37" t="str">
            <v>251～300</v>
          </cell>
          <cell r="R37">
            <v>700</v>
          </cell>
          <cell r="S37">
            <v>647</v>
          </cell>
          <cell r="T37">
            <v>479</v>
          </cell>
          <cell r="U37">
            <v>374</v>
          </cell>
          <cell r="V37">
            <v>473</v>
          </cell>
          <cell r="W37">
            <v>460</v>
          </cell>
          <cell r="X37">
            <v>408</v>
          </cell>
          <cell r="Y37">
            <v>322</v>
          </cell>
          <cell r="Z37">
            <v>295</v>
          </cell>
          <cell r="AA37">
            <v>306</v>
          </cell>
          <cell r="AB37">
            <v>250</v>
          </cell>
          <cell r="AC37">
            <v>245</v>
          </cell>
          <cell r="AD37">
            <v>241</v>
          </cell>
          <cell r="AE37">
            <v>232</v>
          </cell>
        </row>
        <row r="38">
          <cell r="A38" t="str">
            <v>301～350</v>
          </cell>
          <cell r="B38">
            <v>79</v>
          </cell>
          <cell r="C38">
            <v>75</v>
          </cell>
          <cell r="D38">
            <v>117</v>
          </cell>
          <cell r="E38">
            <v>117</v>
          </cell>
          <cell r="F38">
            <v>150</v>
          </cell>
          <cell r="G38">
            <v>197</v>
          </cell>
          <cell r="H38">
            <v>173</v>
          </cell>
          <cell r="I38">
            <v>186</v>
          </cell>
          <cell r="J38">
            <v>171</v>
          </cell>
          <cell r="K38">
            <v>247</v>
          </cell>
          <cell r="L38">
            <v>308</v>
          </cell>
          <cell r="M38">
            <v>335</v>
          </cell>
          <cell r="N38">
            <v>352</v>
          </cell>
          <cell r="O38">
            <v>327</v>
          </cell>
          <cell r="P38">
            <v>298</v>
          </cell>
          <cell r="Q38" t="str">
            <v>301～350</v>
          </cell>
          <cell r="R38">
            <v>316</v>
          </cell>
          <cell r="S38">
            <v>324</v>
          </cell>
          <cell r="T38">
            <v>223</v>
          </cell>
          <cell r="U38">
            <v>187</v>
          </cell>
          <cell r="V38">
            <v>224</v>
          </cell>
          <cell r="W38">
            <v>217</v>
          </cell>
          <cell r="X38">
            <v>206</v>
          </cell>
          <cell r="Y38">
            <v>151</v>
          </cell>
          <cell r="Z38">
            <v>125</v>
          </cell>
          <cell r="AA38">
            <v>137</v>
          </cell>
          <cell r="AB38">
            <v>127</v>
          </cell>
          <cell r="AC38">
            <v>159</v>
          </cell>
          <cell r="AD38">
            <v>123</v>
          </cell>
          <cell r="AE38">
            <v>138</v>
          </cell>
        </row>
        <row r="39">
          <cell r="A39" t="str">
            <v>351～400</v>
          </cell>
          <cell r="B39">
            <v>82</v>
          </cell>
          <cell r="C39">
            <v>117</v>
          </cell>
          <cell r="D39">
            <v>141</v>
          </cell>
          <cell r="E39">
            <v>118</v>
          </cell>
          <cell r="F39">
            <v>140</v>
          </cell>
          <cell r="G39">
            <v>217</v>
          </cell>
          <cell r="H39">
            <v>178</v>
          </cell>
          <cell r="I39">
            <v>200</v>
          </cell>
          <cell r="J39">
            <v>208</v>
          </cell>
          <cell r="K39">
            <v>202</v>
          </cell>
          <cell r="L39">
            <v>257</v>
          </cell>
          <cell r="M39">
            <v>314</v>
          </cell>
          <cell r="N39">
            <v>312</v>
          </cell>
          <cell r="O39">
            <v>332</v>
          </cell>
          <cell r="P39">
            <v>304</v>
          </cell>
          <cell r="Q39" t="str">
            <v>351～400</v>
          </cell>
          <cell r="R39">
            <v>316</v>
          </cell>
          <cell r="S39">
            <v>321</v>
          </cell>
          <cell r="T39">
            <v>246</v>
          </cell>
          <cell r="U39">
            <v>176</v>
          </cell>
          <cell r="V39">
            <v>228</v>
          </cell>
          <cell r="W39">
            <v>202</v>
          </cell>
          <cell r="X39">
            <v>162</v>
          </cell>
          <cell r="Y39">
            <v>164</v>
          </cell>
          <cell r="Z39">
            <v>123</v>
          </cell>
          <cell r="AA39">
            <v>128</v>
          </cell>
          <cell r="AB39">
            <v>115</v>
          </cell>
          <cell r="AC39">
            <v>153</v>
          </cell>
          <cell r="AD39">
            <v>115</v>
          </cell>
          <cell r="AE39">
            <v>110</v>
          </cell>
        </row>
        <row r="40">
          <cell r="A40" t="str">
            <v>401～450</v>
          </cell>
          <cell r="B40">
            <v>29</v>
          </cell>
          <cell r="C40">
            <v>53</v>
          </cell>
          <cell r="D40">
            <v>53</v>
          </cell>
          <cell r="E40">
            <v>70</v>
          </cell>
          <cell r="F40">
            <v>58</v>
          </cell>
          <cell r="G40">
            <v>105</v>
          </cell>
          <cell r="H40">
            <v>94</v>
          </cell>
          <cell r="I40">
            <v>96</v>
          </cell>
          <cell r="J40">
            <v>103</v>
          </cell>
          <cell r="K40">
            <v>106</v>
          </cell>
          <cell r="L40">
            <v>158</v>
          </cell>
          <cell r="M40">
            <v>192</v>
          </cell>
          <cell r="N40">
            <v>170</v>
          </cell>
          <cell r="O40">
            <v>166</v>
          </cell>
          <cell r="P40">
            <v>139</v>
          </cell>
          <cell r="Q40" t="str">
            <v>401～450</v>
          </cell>
          <cell r="R40">
            <v>147</v>
          </cell>
          <cell r="S40">
            <v>144</v>
          </cell>
          <cell r="T40">
            <v>121</v>
          </cell>
          <cell r="U40">
            <v>84</v>
          </cell>
          <cell r="V40">
            <v>121</v>
          </cell>
          <cell r="W40">
            <v>96</v>
          </cell>
          <cell r="X40">
            <v>90</v>
          </cell>
          <cell r="Y40">
            <v>68</v>
          </cell>
          <cell r="Z40">
            <v>56</v>
          </cell>
          <cell r="AA40">
            <v>65</v>
          </cell>
          <cell r="AB40">
            <v>66</v>
          </cell>
          <cell r="AC40">
            <v>60</v>
          </cell>
          <cell r="AD40">
            <v>55</v>
          </cell>
          <cell r="AE40">
            <v>57</v>
          </cell>
        </row>
        <row r="41">
          <cell r="A41" t="str">
            <v>451～500</v>
          </cell>
          <cell r="B41">
            <v>24</v>
          </cell>
          <cell r="C41">
            <v>44</v>
          </cell>
          <cell r="D41">
            <v>63</v>
          </cell>
          <cell r="E41">
            <v>45</v>
          </cell>
          <cell r="F41">
            <v>74</v>
          </cell>
          <cell r="G41">
            <v>97</v>
          </cell>
          <cell r="H41">
            <v>96</v>
          </cell>
          <cell r="I41">
            <v>95</v>
          </cell>
          <cell r="J41">
            <v>71</v>
          </cell>
          <cell r="K41">
            <v>96</v>
          </cell>
          <cell r="L41">
            <v>121</v>
          </cell>
          <cell r="M41">
            <v>153</v>
          </cell>
          <cell r="N41">
            <v>148</v>
          </cell>
          <cell r="O41">
            <v>133</v>
          </cell>
          <cell r="P41">
            <v>136</v>
          </cell>
          <cell r="Q41" t="str">
            <v>451～500</v>
          </cell>
          <cell r="R41">
            <v>139</v>
          </cell>
          <cell r="S41">
            <v>136</v>
          </cell>
          <cell r="T41">
            <v>128</v>
          </cell>
          <cell r="U41">
            <v>77</v>
          </cell>
          <cell r="V41">
            <v>100</v>
          </cell>
          <cell r="W41">
            <v>69</v>
          </cell>
          <cell r="X41">
            <v>79</v>
          </cell>
          <cell r="Y41">
            <v>45</v>
          </cell>
          <cell r="Z41">
            <v>52</v>
          </cell>
          <cell r="AA41">
            <v>63</v>
          </cell>
          <cell r="AB41">
            <v>58</v>
          </cell>
          <cell r="AC41">
            <v>45</v>
          </cell>
          <cell r="AD41">
            <v>57</v>
          </cell>
          <cell r="AE41">
            <v>54</v>
          </cell>
        </row>
        <row r="42">
          <cell r="A42" t="str">
            <v>501～</v>
          </cell>
          <cell r="B42">
            <v>59</v>
          </cell>
          <cell r="C42">
            <v>118</v>
          </cell>
          <cell r="D42">
            <v>90</v>
          </cell>
          <cell r="E42">
            <v>113</v>
          </cell>
          <cell r="F42">
            <v>113</v>
          </cell>
          <cell r="G42">
            <v>199</v>
          </cell>
          <cell r="H42">
            <v>177</v>
          </cell>
          <cell r="I42">
            <v>172</v>
          </cell>
          <cell r="J42">
            <v>185</v>
          </cell>
          <cell r="K42">
            <v>183</v>
          </cell>
          <cell r="L42">
            <v>254</v>
          </cell>
          <cell r="M42">
            <v>309</v>
          </cell>
          <cell r="N42">
            <v>245</v>
          </cell>
          <cell r="O42">
            <v>295</v>
          </cell>
          <cell r="P42">
            <v>253</v>
          </cell>
          <cell r="Q42" t="str">
            <v>501～</v>
          </cell>
          <cell r="R42">
            <v>257</v>
          </cell>
          <cell r="S42">
            <v>313</v>
          </cell>
          <cell r="T42">
            <v>204</v>
          </cell>
          <cell r="U42">
            <v>164</v>
          </cell>
          <cell r="V42">
            <v>188</v>
          </cell>
          <cell r="W42">
            <v>161</v>
          </cell>
          <cell r="X42">
            <v>142</v>
          </cell>
          <cell r="Y42">
            <v>98</v>
          </cell>
          <cell r="Z42">
            <v>91</v>
          </cell>
          <cell r="AA42">
            <v>105</v>
          </cell>
          <cell r="AB42">
            <v>72</v>
          </cell>
          <cell r="AC42">
            <v>91</v>
          </cell>
          <cell r="AD42">
            <v>100</v>
          </cell>
          <cell r="AE42">
            <v>95</v>
          </cell>
        </row>
        <row r="43">
          <cell r="A43" t="str">
            <v>不明</v>
          </cell>
          <cell r="B43">
            <v>89</v>
          </cell>
          <cell r="C43">
            <v>72</v>
          </cell>
          <cell r="D43">
            <v>161</v>
          </cell>
          <cell r="E43">
            <v>211</v>
          </cell>
          <cell r="F43">
            <v>262</v>
          </cell>
          <cell r="G43">
            <v>494</v>
          </cell>
          <cell r="H43">
            <v>201</v>
          </cell>
          <cell r="I43">
            <v>280</v>
          </cell>
          <cell r="J43">
            <v>389</v>
          </cell>
          <cell r="K43">
            <v>397</v>
          </cell>
          <cell r="L43">
            <v>653</v>
          </cell>
          <cell r="M43">
            <v>669</v>
          </cell>
          <cell r="N43">
            <v>262</v>
          </cell>
          <cell r="O43">
            <v>652</v>
          </cell>
          <cell r="P43">
            <v>754</v>
          </cell>
          <cell r="Q43" t="str">
            <v>不明</v>
          </cell>
          <cell r="R43">
            <v>675</v>
          </cell>
          <cell r="S43">
            <v>628</v>
          </cell>
          <cell r="T43">
            <v>620</v>
          </cell>
          <cell r="U43">
            <v>509</v>
          </cell>
          <cell r="V43">
            <v>661</v>
          </cell>
          <cell r="W43">
            <v>451</v>
          </cell>
          <cell r="X43">
            <v>264</v>
          </cell>
          <cell r="Y43">
            <v>228</v>
          </cell>
          <cell r="Z43">
            <v>159</v>
          </cell>
          <cell r="AA43">
            <v>176</v>
          </cell>
          <cell r="AB43">
            <v>193</v>
          </cell>
          <cell r="AC43">
            <v>164</v>
          </cell>
          <cell r="AD43">
            <v>157</v>
          </cell>
          <cell r="AE43">
            <v>156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37"/>
  <sheetViews>
    <sheetView zoomScaleNormal="100" workbookViewId="0">
      <pane xSplit="1" ySplit="1" topLeftCell="B18" activePane="bottomRight" state="frozen"/>
      <selection pane="topRight" activeCell="B1" sqref="B1"/>
      <selection pane="bottomLeft" activeCell="A2" sqref="A2"/>
      <selection pane="bottomRight" activeCell="C25" sqref="C25"/>
    </sheetView>
  </sheetViews>
  <sheetFormatPr defaultRowHeight="13" x14ac:dyDescent="0.2"/>
  <cols>
    <col min="1" max="1" width="25.36328125" customWidth="1"/>
    <col min="2" max="2" width="11" style="4" bestFit="1" customWidth="1"/>
    <col min="3" max="3" width="13.6328125" style="4" bestFit="1" customWidth="1"/>
    <col min="4" max="4" width="12.7265625" style="4" customWidth="1"/>
    <col min="5" max="15" width="11.453125" style="4" customWidth="1"/>
    <col min="16" max="17" width="12.7265625" style="4" customWidth="1"/>
    <col min="18" max="18" width="12.6328125" style="4" customWidth="1"/>
    <col min="19" max="19" width="12.453125" style="4" customWidth="1"/>
    <col min="20" max="20" width="13.7265625" style="4" customWidth="1"/>
    <col min="21" max="21" width="12.7265625" style="4" customWidth="1"/>
    <col min="22" max="22" width="12.453125" style="4" customWidth="1"/>
    <col min="23" max="23" width="12.90625" style="4" customWidth="1"/>
    <col min="24" max="24" width="13.36328125" style="4" customWidth="1"/>
    <col min="25" max="25" width="13.6328125" style="4" customWidth="1"/>
    <col min="26" max="26" width="13.08984375" style="4" customWidth="1"/>
    <col min="27" max="27" width="12.453125" style="4" customWidth="1"/>
    <col min="28" max="28" width="12.6328125" style="4" customWidth="1"/>
    <col min="29" max="29" width="13.90625" style="4" customWidth="1"/>
    <col min="30" max="30" width="14" style="4" customWidth="1"/>
    <col min="31" max="31" width="13.26953125" style="4" customWidth="1"/>
    <col min="32" max="32" width="13.08984375" style="4" customWidth="1"/>
    <col min="33" max="33" width="13.36328125" style="4" customWidth="1"/>
    <col min="34" max="34" width="13.6328125" style="4" customWidth="1"/>
    <col min="35" max="35" width="12.7265625" style="4" customWidth="1"/>
    <col min="36" max="48" width="14.26953125" style="4" customWidth="1"/>
  </cols>
  <sheetData>
    <row r="1" spans="1:48" x14ac:dyDescent="0.2">
      <c r="A1" s="51" t="s">
        <v>0</v>
      </c>
      <c r="B1" s="52" t="s">
        <v>28</v>
      </c>
      <c r="C1" s="52" t="s">
        <v>74</v>
      </c>
      <c r="D1" s="52" t="s">
        <v>76</v>
      </c>
      <c r="E1" s="52" t="s">
        <v>77</v>
      </c>
      <c r="F1" s="52" t="s">
        <v>78</v>
      </c>
      <c r="G1" s="52" t="s">
        <v>80</v>
      </c>
      <c r="H1" s="52" t="s">
        <v>81</v>
      </c>
      <c r="I1" s="52" t="s">
        <v>83</v>
      </c>
      <c r="J1" s="52" t="s">
        <v>84</v>
      </c>
      <c r="K1" s="52" t="s">
        <v>86</v>
      </c>
      <c r="L1" s="52" t="s">
        <v>92</v>
      </c>
      <c r="M1" s="52" t="s">
        <v>93</v>
      </c>
      <c r="N1" s="52" t="s">
        <v>95</v>
      </c>
      <c r="O1" s="52" t="s">
        <v>96</v>
      </c>
      <c r="P1" s="52" t="s">
        <v>97</v>
      </c>
      <c r="Q1" s="52" t="s">
        <v>98</v>
      </c>
      <c r="R1" s="52" t="s">
        <v>99</v>
      </c>
      <c r="S1" s="52" t="s">
        <v>100</v>
      </c>
      <c r="T1" s="52" t="s">
        <v>101</v>
      </c>
      <c r="U1" s="52" t="s">
        <v>102</v>
      </c>
      <c r="V1" s="52" t="s">
        <v>103</v>
      </c>
      <c r="W1" s="52" t="s">
        <v>104</v>
      </c>
      <c r="X1" s="52" t="s">
        <v>105</v>
      </c>
      <c r="Y1" s="52" t="s">
        <v>106</v>
      </c>
      <c r="Z1" s="52" t="s">
        <v>107</v>
      </c>
      <c r="AA1" s="52" t="s">
        <v>108</v>
      </c>
      <c r="AB1" s="52" t="s">
        <v>115</v>
      </c>
      <c r="AC1" s="52" t="s">
        <v>116</v>
      </c>
      <c r="AD1" s="52" t="s">
        <v>117</v>
      </c>
      <c r="AE1" s="52" t="s">
        <v>118</v>
      </c>
      <c r="AF1" s="52" t="s">
        <v>119</v>
      </c>
      <c r="AG1" s="52" t="s">
        <v>120</v>
      </c>
      <c r="AH1" s="52" t="s">
        <v>121</v>
      </c>
      <c r="AI1" s="52" t="s">
        <v>122</v>
      </c>
      <c r="AJ1" s="52" t="s">
        <v>123</v>
      </c>
      <c r="AK1" s="52" t="s">
        <v>124</v>
      </c>
      <c r="AL1" s="52" t="s">
        <v>125</v>
      </c>
      <c r="AM1" s="52" t="s">
        <v>128</v>
      </c>
      <c r="AN1" s="52" t="s">
        <v>129</v>
      </c>
      <c r="AO1" s="52" t="s">
        <v>130</v>
      </c>
      <c r="AP1" s="52" t="s">
        <v>131</v>
      </c>
      <c r="AQ1" s="52" t="s">
        <v>132</v>
      </c>
      <c r="AR1" s="52" t="s">
        <v>133</v>
      </c>
      <c r="AS1" s="52" t="s">
        <v>134</v>
      </c>
      <c r="AT1" s="52" t="s">
        <v>135</v>
      </c>
      <c r="AU1" s="52" t="s">
        <v>136</v>
      </c>
      <c r="AV1" s="52"/>
    </row>
    <row r="2" spans="1:48" x14ac:dyDescent="0.2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</row>
    <row r="3" spans="1:48" s="1" customFormat="1" x14ac:dyDescent="0.2">
      <c r="A3" s="53" t="s">
        <v>29</v>
      </c>
      <c r="B3" s="53">
        <v>26024</v>
      </c>
      <c r="C3" s="53">
        <v>27120</v>
      </c>
      <c r="D3" s="53">
        <v>27485</v>
      </c>
      <c r="E3" s="53">
        <v>27851</v>
      </c>
      <c r="F3" s="53">
        <v>28216</v>
      </c>
      <c r="G3" s="53">
        <v>28581</v>
      </c>
      <c r="H3" s="53">
        <v>28946</v>
      </c>
      <c r="I3" s="53">
        <v>29312</v>
      </c>
      <c r="J3" s="53">
        <v>29738</v>
      </c>
      <c r="K3" s="53">
        <v>30103</v>
      </c>
      <c r="L3" s="53">
        <v>30468</v>
      </c>
      <c r="M3" s="53">
        <v>30834</v>
      </c>
      <c r="N3" s="53">
        <v>31199</v>
      </c>
      <c r="O3" s="53">
        <v>31564</v>
      </c>
      <c r="P3" s="53">
        <v>31929</v>
      </c>
      <c r="Q3" s="53">
        <v>32295</v>
      </c>
      <c r="R3" s="53">
        <v>32660</v>
      </c>
      <c r="S3" s="53">
        <v>33025</v>
      </c>
      <c r="T3" s="53">
        <v>33390</v>
      </c>
      <c r="U3" s="53">
        <v>33756</v>
      </c>
      <c r="V3" s="53">
        <v>34121</v>
      </c>
      <c r="W3" s="53">
        <v>34486</v>
      </c>
      <c r="X3" s="53">
        <v>34851</v>
      </c>
      <c r="Y3" s="53">
        <v>35217</v>
      </c>
      <c r="Z3" s="53">
        <v>35582</v>
      </c>
      <c r="AA3" s="53">
        <v>35947</v>
      </c>
      <c r="AB3" s="53">
        <v>36312</v>
      </c>
      <c r="AC3" s="53">
        <v>36678</v>
      </c>
      <c r="AD3" s="53">
        <v>37043</v>
      </c>
      <c r="AE3" s="53">
        <v>37408</v>
      </c>
      <c r="AF3" s="53">
        <v>37773</v>
      </c>
      <c r="AG3" s="53">
        <v>38139</v>
      </c>
      <c r="AH3" s="53">
        <v>38504</v>
      </c>
      <c r="AI3" s="53">
        <v>38869</v>
      </c>
      <c r="AJ3" s="53">
        <v>39234</v>
      </c>
      <c r="AK3" s="53">
        <v>39600</v>
      </c>
      <c r="AL3" s="53">
        <v>39965</v>
      </c>
      <c r="AM3" s="53">
        <v>40330</v>
      </c>
      <c r="AN3" s="53">
        <v>40695</v>
      </c>
      <c r="AO3" s="53">
        <v>41061</v>
      </c>
      <c r="AP3" s="53">
        <v>41426</v>
      </c>
      <c r="AQ3" s="53">
        <v>41791</v>
      </c>
      <c r="AR3" s="53">
        <v>42156</v>
      </c>
      <c r="AS3" s="53">
        <v>42522</v>
      </c>
      <c r="AT3" s="53">
        <v>42887</v>
      </c>
      <c r="AU3" s="53">
        <v>43252</v>
      </c>
      <c r="AV3" s="53"/>
    </row>
    <row r="4" spans="1:48" s="1" customFormat="1" x14ac:dyDescent="0.2">
      <c r="A4" s="53" t="s">
        <v>30</v>
      </c>
      <c r="B4" s="53">
        <v>26389</v>
      </c>
      <c r="C4" s="53">
        <v>27484</v>
      </c>
      <c r="D4" s="53">
        <v>27850</v>
      </c>
      <c r="E4" s="53">
        <v>28215</v>
      </c>
      <c r="F4" s="53">
        <v>28580</v>
      </c>
      <c r="G4" s="53">
        <v>28945</v>
      </c>
      <c r="H4" s="53">
        <v>29311</v>
      </c>
      <c r="I4" s="53">
        <v>29676</v>
      </c>
      <c r="J4" s="53">
        <v>30102</v>
      </c>
      <c r="K4" s="53">
        <v>30467</v>
      </c>
      <c r="L4" s="53">
        <v>30833</v>
      </c>
      <c r="M4" s="53">
        <v>31198</v>
      </c>
      <c r="N4" s="53">
        <v>31563</v>
      </c>
      <c r="O4" s="53">
        <v>31928</v>
      </c>
      <c r="P4" s="53">
        <v>32294</v>
      </c>
      <c r="Q4" s="53">
        <v>32659</v>
      </c>
      <c r="R4" s="53">
        <v>33024</v>
      </c>
      <c r="S4" s="53">
        <v>33389</v>
      </c>
      <c r="T4" s="53">
        <v>33755</v>
      </c>
      <c r="U4" s="53">
        <v>34120</v>
      </c>
      <c r="V4" s="53">
        <v>34485</v>
      </c>
      <c r="W4" s="53">
        <v>34850</v>
      </c>
      <c r="X4" s="53">
        <v>35216</v>
      </c>
      <c r="Y4" s="53">
        <v>35581</v>
      </c>
      <c r="Z4" s="53">
        <v>35946</v>
      </c>
      <c r="AA4" s="53">
        <v>36311</v>
      </c>
      <c r="AB4" s="53">
        <v>36677</v>
      </c>
      <c r="AC4" s="53">
        <v>37042</v>
      </c>
      <c r="AD4" s="53">
        <v>37407</v>
      </c>
      <c r="AE4" s="53">
        <v>37772</v>
      </c>
      <c r="AF4" s="53">
        <v>38138</v>
      </c>
      <c r="AG4" s="53">
        <v>38503</v>
      </c>
      <c r="AH4" s="53">
        <v>38868</v>
      </c>
      <c r="AI4" s="53">
        <v>39233</v>
      </c>
      <c r="AJ4" s="53">
        <v>39599</v>
      </c>
      <c r="AK4" s="53">
        <v>39964</v>
      </c>
      <c r="AL4" s="53">
        <v>40329</v>
      </c>
      <c r="AM4" s="53">
        <v>40694</v>
      </c>
      <c r="AN4" s="53">
        <v>41060</v>
      </c>
      <c r="AO4" s="53">
        <v>41425</v>
      </c>
      <c r="AP4" s="53">
        <v>41790</v>
      </c>
      <c r="AQ4" s="53">
        <v>42155</v>
      </c>
      <c r="AR4" s="53">
        <v>42521</v>
      </c>
      <c r="AS4" s="53">
        <v>42886</v>
      </c>
      <c r="AT4" s="53">
        <v>43251</v>
      </c>
      <c r="AU4" s="53">
        <v>43616</v>
      </c>
      <c r="AV4" s="53"/>
    </row>
    <row r="5" spans="1:48" x14ac:dyDescent="0.2">
      <c r="A5" s="51" t="s">
        <v>16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</row>
    <row r="6" spans="1:48" s="2" customFormat="1" x14ac:dyDescent="0.2">
      <c r="A6" s="54" t="s">
        <v>5</v>
      </c>
      <c r="B6" s="52">
        <f t="shared" ref="B6:Y6" si="0">B14</f>
        <v>56467806</v>
      </c>
      <c r="C6" s="52">
        <f t="shared" si="0"/>
        <v>27852749</v>
      </c>
      <c r="D6" s="52">
        <f t="shared" si="0"/>
        <v>38742267</v>
      </c>
      <c r="E6" s="52">
        <f t="shared" si="0"/>
        <v>39729896</v>
      </c>
      <c r="F6" s="52">
        <f t="shared" si="0"/>
        <v>68839790</v>
      </c>
      <c r="G6" s="52">
        <f t="shared" si="0"/>
        <v>72944271</v>
      </c>
      <c r="H6" s="52">
        <f t="shared" si="0"/>
        <v>77292930</v>
      </c>
      <c r="I6" s="52">
        <f t="shared" si="0"/>
        <v>137603039</v>
      </c>
      <c r="J6" s="52">
        <f t="shared" si="0"/>
        <v>210117433</v>
      </c>
      <c r="K6" s="52">
        <f t="shared" si="0"/>
        <v>340906414</v>
      </c>
      <c r="L6" s="52">
        <f t="shared" si="0"/>
        <v>462114153</v>
      </c>
      <c r="M6" s="52">
        <f t="shared" si="0"/>
        <v>605317992</v>
      </c>
      <c r="N6" s="52">
        <f t="shared" si="0"/>
        <v>610811443</v>
      </c>
      <c r="O6" s="52">
        <f t="shared" si="0"/>
        <v>548117784</v>
      </c>
      <c r="P6" s="52">
        <f t="shared" si="0"/>
        <v>977261801</v>
      </c>
      <c r="Q6" s="52">
        <f t="shared" si="0"/>
        <v>1148075293</v>
      </c>
      <c r="R6" s="52">
        <f t="shared" si="0"/>
        <v>1336722065</v>
      </c>
      <c r="S6" s="52">
        <f t="shared" si="0"/>
        <v>1574665736</v>
      </c>
      <c r="T6" s="52">
        <f t="shared" si="0"/>
        <v>1909467695</v>
      </c>
      <c r="U6" s="52">
        <f t="shared" si="0"/>
        <v>2233860907</v>
      </c>
      <c r="V6" s="52">
        <f t="shared" si="0"/>
        <v>2564628088</v>
      </c>
      <c r="W6" s="52">
        <f t="shared" si="0"/>
        <v>2932720782</v>
      </c>
      <c r="X6" s="52">
        <f t="shared" si="0"/>
        <v>3060330824</v>
      </c>
      <c r="Y6" s="52">
        <f t="shared" si="0"/>
        <v>3581582216</v>
      </c>
      <c r="Z6" s="52">
        <f t="shared" ref="Z6:AA6" si="1">Z14</f>
        <v>4003922329</v>
      </c>
      <c r="AA6" s="52">
        <f t="shared" si="1"/>
        <v>4102242138</v>
      </c>
      <c r="AB6" s="52">
        <f t="shared" ref="AB6:AC6" si="2">AB14</f>
        <v>4585975330</v>
      </c>
      <c r="AC6" s="52">
        <f t="shared" si="2"/>
        <v>5415534204</v>
      </c>
      <c r="AD6" s="52">
        <f t="shared" ref="AD6:AE6" si="3">AD14</f>
        <v>6058496101</v>
      </c>
      <c r="AE6" s="52">
        <f t="shared" si="3"/>
        <v>6925468079</v>
      </c>
      <c r="AF6" s="52">
        <f t="shared" ref="AF6" si="4">AF14</f>
        <v>7566202310</v>
      </c>
      <c r="AG6" s="52">
        <f t="shared" ref="AG6" si="5">AG14</f>
        <v>7970472842</v>
      </c>
      <c r="AH6" s="52">
        <f t="shared" ref="AH6:AI6" si="6">AH14</f>
        <v>7839237083</v>
      </c>
      <c r="AI6" s="52">
        <f t="shared" si="6"/>
        <v>7465974646</v>
      </c>
      <c r="AJ6" s="52">
        <f t="shared" ref="AJ6:AK6" si="7">AJ14</f>
        <v>7115508024</v>
      </c>
      <c r="AK6" s="52">
        <f t="shared" si="7"/>
        <v>6167948401</v>
      </c>
      <c r="AL6" s="52">
        <f t="shared" ref="AL6:AM6" si="8">AL14</f>
        <v>5334141026</v>
      </c>
      <c r="AM6" s="52">
        <f t="shared" si="8"/>
        <v>4947628206</v>
      </c>
      <c r="AN6" s="52">
        <f t="shared" ref="AN6:AO6" si="9">AN14</f>
        <v>4557057492</v>
      </c>
      <c r="AO6" s="52">
        <f t="shared" si="9"/>
        <v>4070098489</v>
      </c>
      <c r="AP6" s="52">
        <f t="shared" ref="AP6:AQ6" si="10">AP14</f>
        <v>3495128155</v>
      </c>
      <c r="AQ6" s="52">
        <f t="shared" si="10"/>
        <v>3141588026</v>
      </c>
      <c r="AR6" s="52">
        <f t="shared" ref="AR6:AS6" si="11">AR14</f>
        <v>2815395687</v>
      </c>
      <c r="AS6" s="52">
        <f t="shared" si="11"/>
        <v>2434952629</v>
      </c>
      <c r="AT6" s="52">
        <f t="shared" ref="AT6:AU6" si="12">AT14</f>
        <v>2104718322</v>
      </c>
      <c r="AU6" s="52">
        <f t="shared" si="12"/>
        <v>1894483733</v>
      </c>
      <c r="AV6" s="52">
        <f t="shared" ref="AV6" si="13">AV14</f>
        <v>0</v>
      </c>
    </row>
    <row r="7" spans="1:48" s="2" customFormat="1" x14ac:dyDescent="0.2">
      <c r="A7" s="54" t="s">
        <v>6</v>
      </c>
      <c r="B7" s="52">
        <f t="shared" ref="B7:Y7" si="14">B25</f>
        <v>507500</v>
      </c>
      <c r="C7" s="52">
        <f t="shared" si="14"/>
        <v>991000</v>
      </c>
      <c r="D7" s="52">
        <f t="shared" si="14"/>
        <v>891000</v>
      </c>
      <c r="E7" s="52">
        <f t="shared" si="14"/>
        <v>1240500</v>
      </c>
      <c r="F7" s="52">
        <f t="shared" si="14"/>
        <v>1761000</v>
      </c>
      <c r="G7" s="52">
        <f t="shared" si="14"/>
        <v>2106000</v>
      </c>
      <c r="H7" s="52">
        <f t="shared" si="14"/>
        <v>2214000</v>
      </c>
      <c r="I7" s="52">
        <f t="shared" si="14"/>
        <v>2846000</v>
      </c>
      <c r="J7" s="52">
        <f t="shared" si="14"/>
        <v>2808000</v>
      </c>
      <c r="K7" s="52">
        <f t="shared" si="14"/>
        <v>5998500</v>
      </c>
      <c r="L7" s="52">
        <f t="shared" si="14"/>
        <v>11698969</v>
      </c>
      <c r="M7" s="52">
        <f t="shared" si="14"/>
        <v>18147500</v>
      </c>
      <c r="N7" s="52">
        <f t="shared" si="14"/>
        <v>21274000</v>
      </c>
      <c r="O7" s="52">
        <f t="shared" si="14"/>
        <v>24246331</v>
      </c>
      <c r="P7" s="52">
        <f t="shared" si="14"/>
        <v>106193674</v>
      </c>
      <c r="Q7" s="52">
        <f t="shared" si="14"/>
        <v>117599803</v>
      </c>
      <c r="R7" s="52">
        <f t="shared" si="14"/>
        <v>131227450</v>
      </c>
      <c r="S7" s="52">
        <f t="shared" si="14"/>
        <v>138978980</v>
      </c>
      <c r="T7" s="52">
        <f t="shared" si="14"/>
        <v>160903445</v>
      </c>
      <c r="U7" s="52">
        <f t="shared" si="14"/>
        <v>181076991</v>
      </c>
      <c r="V7" s="52">
        <f t="shared" si="14"/>
        <v>222661591</v>
      </c>
      <c r="W7" s="52">
        <f t="shared" si="14"/>
        <v>256665890</v>
      </c>
      <c r="X7" s="52">
        <f t="shared" si="14"/>
        <v>281799053</v>
      </c>
      <c r="Y7" s="52">
        <f t="shared" si="14"/>
        <v>325628242</v>
      </c>
      <c r="Z7" s="52">
        <f t="shared" ref="Z7:AA7" si="15">Z25</f>
        <v>359110500</v>
      </c>
      <c r="AA7" s="52">
        <f t="shared" si="15"/>
        <v>400766500</v>
      </c>
      <c r="AB7" s="52">
        <f t="shared" ref="AB7:AC7" si="16">AB25</f>
        <v>456753500</v>
      </c>
      <c r="AC7" s="52">
        <f t="shared" si="16"/>
        <v>526283000</v>
      </c>
      <c r="AD7" s="52">
        <f t="shared" ref="AD7:AE7" si="17">AD25</f>
        <v>610693000</v>
      </c>
      <c r="AE7" s="52">
        <f t="shared" si="17"/>
        <v>767294500</v>
      </c>
      <c r="AF7" s="52">
        <f t="shared" ref="AF7" si="18">AF25</f>
        <v>898358000</v>
      </c>
      <c r="AG7" s="52">
        <f t="shared" ref="AG7" si="19">AG25</f>
        <v>998373500</v>
      </c>
      <c r="AH7" s="52">
        <f t="shared" ref="AH7:AI7" si="20">AH25</f>
        <v>1014793500</v>
      </c>
      <c r="AI7" s="52">
        <f t="shared" si="20"/>
        <v>1063673000</v>
      </c>
      <c r="AJ7" s="52">
        <f t="shared" ref="AJ7:AK7" si="21">AJ25</f>
        <v>1073210000</v>
      </c>
      <c r="AK7" s="52">
        <f t="shared" si="21"/>
        <v>944397500</v>
      </c>
      <c r="AL7" s="52">
        <f t="shared" ref="AL7:AM7" si="22">AL25</f>
        <v>910822500</v>
      </c>
      <c r="AM7" s="52">
        <f t="shared" si="22"/>
        <v>882198500</v>
      </c>
      <c r="AN7" s="52">
        <f t="shared" ref="AN7:AO7" si="23">AN25</f>
        <v>857604500</v>
      </c>
      <c r="AO7" s="52">
        <f t="shared" si="23"/>
        <v>813657000</v>
      </c>
      <c r="AP7" s="52">
        <f t="shared" ref="AP7:AQ7" si="24">AP25</f>
        <v>783969000</v>
      </c>
      <c r="AQ7" s="52">
        <f t="shared" si="24"/>
        <v>768776000</v>
      </c>
      <c r="AR7" s="52">
        <f t="shared" ref="AR7:AS7" si="25">AR25</f>
        <v>815266000</v>
      </c>
      <c r="AS7" s="52">
        <f t="shared" si="25"/>
        <v>757387000</v>
      </c>
      <c r="AT7" s="52">
        <f t="shared" ref="AT7:AU7" si="26">AT25</f>
        <v>730070000</v>
      </c>
      <c r="AU7" s="52">
        <f t="shared" si="26"/>
        <v>700307500</v>
      </c>
      <c r="AV7" s="52">
        <f t="shared" ref="AV7" si="27">AV25</f>
        <v>0</v>
      </c>
    </row>
    <row r="8" spans="1:48" s="2" customFormat="1" x14ac:dyDescent="0.2">
      <c r="A8" s="54" t="s">
        <v>7</v>
      </c>
      <c r="B8" s="52">
        <f t="shared" ref="B8:Y8" si="28">B26</f>
        <v>515763</v>
      </c>
      <c r="C8" s="52">
        <f t="shared" si="28"/>
        <v>-1265578</v>
      </c>
      <c r="D8" s="52">
        <f t="shared" si="28"/>
        <v>-2006229</v>
      </c>
      <c r="E8" s="52">
        <f t="shared" si="28"/>
        <v>-123689</v>
      </c>
      <c r="F8" s="52">
        <f t="shared" si="28"/>
        <v>141455</v>
      </c>
      <c r="G8" s="52">
        <f t="shared" si="28"/>
        <v>1323534</v>
      </c>
      <c r="H8" s="52">
        <f t="shared" si="28"/>
        <v>2733427</v>
      </c>
      <c r="I8" s="52">
        <f t="shared" si="28"/>
        <v>1402385</v>
      </c>
      <c r="J8" s="52">
        <f t="shared" si="28"/>
        <v>7720944</v>
      </c>
      <c r="K8" s="52">
        <f t="shared" si="28"/>
        <v>4912474</v>
      </c>
      <c r="L8" s="52">
        <f t="shared" si="28"/>
        <v>6701831</v>
      </c>
      <c r="M8" s="52">
        <f t="shared" si="28"/>
        <v>5661889</v>
      </c>
      <c r="N8" s="52">
        <f t="shared" si="28"/>
        <v>6716639</v>
      </c>
      <c r="O8" s="52">
        <f t="shared" si="28"/>
        <v>6275288</v>
      </c>
      <c r="P8" s="52">
        <f t="shared" si="28"/>
        <v>8057146</v>
      </c>
      <c r="Q8" s="52">
        <f t="shared" si="28"/>
        <v>14486841</v>
      </c>
      <c r="R8" s="52">
        <f t="shared" si="28"/>
        <v>15264177</v>
      </c>
      <c r="S8" s="52">
        <f t="shared" si="28"/>
        <v>18943976</v>
      </c>
      <c r="T8" s="52">
        <f t="shared" si="28"/>
        <v>17100574</v>
      </c>
      <c r="U8" s="52">
        <f t="shared" si="28"/>
        <v>40039560</v>
      </c>
      <c r="V8" s="52">
        <f t="shared" si="28"/>
        <v>58683367</v>
      </c>
      <c r="W8" s="52">
        <f t="shared" si="28"/>
        <v>68707809</v>
      </c>
      <c r="X8" s="52">
        <f t="shared" si="28"/>
        <v>107187895</v>
      </c>
      <c r="Y8" s="52">
        <f t="shared" si="28"/>
        <v>132176267</v>
      </c>
      <c r="Z8" s="52">
        <f t="shared" ref="Z8:AA8" si="29">Z26</f>
        <v>181046564</v>
      </c>
      <c r="AA8" s="52">
        <f t="shared" si="29"/>
        <v>223636189</v>
      </c>
      <c r="AB8" s="52">
        <f t="shared" ref="AB8:AC8" si="30">AB26</f>
        <v>262129230</v>
      </c>
      <c r="AC8" s="52">
        <f t="shared" si="30"/>
        <v>293222673</v>
      </c>
      <c r="AD8" s="52">
        <f t="shared" ref="AD8:AE8" si="31">AD26</f>
        <v>321397928</v>
      </c>
      <c r="AE8" s="52">
        <f t="shared" si="31"/>
        <v>379443377</v>
      </c>
      <c r="AF8" s="52">
        <f t="shared" ref="AF8" si="32">AF26</f>
        <v>441066319</v>
      </c>
      <c r="AG8" s="52">
        <f t="shared" ref="AG8" si="33">AG26</f>
        <v>458929196</v>
      </c>
      <c r="AH8" s="52">
        <f t="shared" ref="AH8:AI8" si="34">AH26</f>
        <v>485045125</v>
      </c>
      <c r="AI8" s="52">
        <f t="shared" si="34"/>
        <v>532630554</v>
      </c>
      <c r="AJ8" s="52">
        <f t="shared" ref="AJ8:AK8" si="35">AJ26</f>
        <v>536411203</v>
      </c>
      <c r="AK8" s="52">
        <f t="shared" si="35"/>
        <v>596461234</v>
      </c>
      <c r="AL8" s="52">
        <f t="shared" ref="AL8:AM8" si="36">AL26</f>
        <v>606555044</v>
      </c>
      <c r="AM8" s="52">
        <f t="shared" si="36"/>
        <v>362713163</v>
      </c>
      <c r="AN8" s="52">
        <f t="shared" ref="AN8:AO8" si="37">AN26</f>
        <v>599959685</v>
      </c>
      <c r="AO8" s="52">
        <f t="shared" si="37"/>
        <v>623020770</v>
      </c>
      <c r="AP8" s="52">
        <f t="shared" ref="AP8:AQ8" si="38">AP26</f>
        <v>634730392</v>
      </c>
      <c r="AQ8" s="52">
        <f t="shared" si="38"/>
        <v>681419859</v>
      </c>
      <c r="AR8" s="52">
        <f t="shared" ref="AR8:AS8" si="39">AR26</f>
        <v>709618038</v>
      </c>
      <c r="AS8" s="52">
        <f t="shared" si="39"/>
        <v>721941240</v>
      </c>
      <c r="AT8" s="52">
        <f t="shared" ref="AT8:AU8" si="40">AT26</f>
        <v>741193289</v>
      </c>
      <c r="AU8" s="52">
        <f t="shared" si="40"/>
        <v>780542358</v>
      </c>
      <c r="AV8" s="52">
        <f t="shared" ref="AV8" si="41">AV26</f>
        <v>0</v>
      </c>
    </row>
    <row r="9" spans="1:48" s="2" customFormat="1" x14ac:dyDescent="0.2">
      <c r="A9" s="54" t="s">
        <v>8</v>
      </c>
      <c r="B9" s="52">
        <f t="shared" ref="B9:AM9" si="42">B7+B8</f>
        <v>1023263</v>
      </c>
      <c r="C9" s="52">
        <f t="shared" si="42"/>
        <v>-274578</v>
      </c>
      <c r="D9" s="52">
        <f t="shared" si="42"/>
        <v>-1115229</v>
      </c>
      <c r="E9" s="52">
        <f t="shared" si="42"/>
        <v>1116811</v>
      </c>
      <c r="F9" s="52">
        <f t="shared" si="42"/>
        <v>1902455</v>
      </c>
      <c r="G9" s="52">
        <f t="shared" si="42"/>
        <v>3429534</v>
      </c>
      <c r="H9" s="52">
        <f t="shared" si="42"/>
        <v>4947427</v>
      </c>
      <c r="I9" s="52">
        <f t="shared" si="42"/>
        <v>4248385</v>
      </c>
      <c r="J9" s="52">
        <f t="shared" si="42"/>
        <v>10528944</v>
      </c>
      <c r="K9" s="52">
        <f t="shared" si="42"/>
        <v>10910974</v>
      </c>
      <c r="L9" s="52">
        <f t="shared" si="42"/>
        <v>18400800</v>
      </c>
      <c r="M9" s="52">
        <f t="shared" si="42"/>
        <v>23809389</v>
      </c>
      <c r="N9" s="52">
        <f t="shared" si="42"/>
        <v>27990639</v>
      </c>
      <c r="O9" s="52">
        <f t="shared" si="42"/>
        <v>30521619</v>
      </c>
      <c r="P9" s="52">
        <f t="shared" si="42"/>
        <v>114250820</v>
      </c>
      <c r="Q9" s="52">
        <f t="shared" si="42"/>
        <v>132086644</v>
      </c>
      <c r="R9" s="52">
        <f t="shared" si="42"/>
        <v>146491627</v>
      </c>
      <c r="S9" s="52">
        <f t="shared" si="42"/>
        <v>157922956</v>
      </c>
      <c r="T9" s="52">
        <f t="shared" si="42"/>
        <v>178004019</v>
      </c>
      <c r="U9" s="52">
        <f t="shared" si="42"/>
        <v>221116551</v>
      </c>
      <c r="V9" s="52">
        <f t="shared" si="42"/>
        <v>281344958</v>
      </c>
      <c r="W9" s="52">
        <f t="shared" si="42"/>
        <v>325373699</v>
      </c>
      <c r="X9" s="52">
        <f t="shared" si="42"/>
        <v>388986948</v>
      </c>
      <c r="Y9" s="52">
        <f t="shared" si="42"/>
        <v>457804509</v>
      </c>
      <c r="Z9" s="52">
        <f t="shared" si="42"/>
        <v>540157064</v>
      </c>
      <c r="AA9" s="52">
        <f t="shared" si="42"/>
        <v>624402689</v>
      </c>
      <c r="AB9" s="52">
        <f t="shared" si="42"/>
        <v>718882730</v>
      </c>
      <c r="AC9" s="52">
        <f t="shared" si="42"/>
        <v>819505673</v>
      </c>
      <c r="AD9" s="52">
        <f t="shared" si="42"/>
        <v>932090928</v>
      </c>
      <c r="AE9" s="52">
        <f t="shared" si="42"/>
        <v>1146737877</v>
      </c>
      <c r="AF9" s="52">
        <f t="shared" si="42"/>
        <v>1339424319</v>
      </c>
      <c r="AG9" s="52">
        <f t="shared" si="42"/>
        <v>1457302696</v>
      </c>
      <c r="AH9" s="52">
        <f t="shared" si="42"/>
        <v>1499838625</v>
      </c>
      <c r="AI9" s="52">
        <f t="shared" si="42"/>
        <v>1596303554</v>
      </c>
      <c r="AJ9" s="52">
        <f t="shared" si="42"/>
        <v>1609621203</v>
      </c>
      <c r="AK9" s="52">
        <f t="shared" si="42"/>
        <v>1540858734</v>
      </c>
      <c r="AL9" s="52">
        <f t="shared" si="42"/>
        <v>1517377544</v>
      </c>
      <c r="AM9" s="52">
        <f t="shared" si="42"/>
        <v>1244911663</v>
      </c>
      <c r="AN9" s="52">
        <f t="shared" ref="AN9:AO9" si="43">AN7+AN8</f>
        <v>1457564185</v>
      </c>
      <c r="AO9" s="52">
        <f t="shared" si="43"/>
        <v>1436677770</v>
      </c>
      <c r="AP9" s="52">
        <f t="shared" ref="AP9:AQ9" si="44">AP7+AP8</f>
        <v>1418699392</v>
      </c>
      <c r="AQ9" s="52">
        <f t="shared" si="44"/>
        <v>1450195859</v>
      </c>
      <c r="AR9" s="52">
        <f t="shared" ref="AR9:AS9" si="45">AR7+AR8</f>
        <v>1524884038</v>
      </c>
      <c r="AS9" s="52">
        <f t="shared" si="45"/>
        <v>1479328240</v>
      </c>
      <c r="AT9" s="52">
        <f t="shared" ref="AT9:AU9" si="46">AT7+AT8</f>
        <v>1471263289</v>
      </c>
      <c r="AU9" s="52">
        <f t="shared" si="46"/>
        <v>1480849858</v>
      </c>
      <c r="AV9" s="52">
        <f t="shared" ref="AV9" si="47">AV7+AV8</f>
        <v>0</v>
      </c>
    </row>
    <row r="10" spans="1:48" s="3" customFormat="1" x14ac:dyDescent="0.2">
      <c r="A10" s="55" t="s">
        <v>9</v>
      </c>
      <c r="B10" s="55">
        <f t="shared" ref="B10:AV10" si="48">B9/B28</f>
        <v>1.6423906515974723E-2</v>
      </c>
      <c r="C10" s="55">
        <f t="shared" si="48"/>
        <v>-6.9009609139072088E-3</v>
      </c>
      <c r="D10" s="55">
        <f t="shared" si="48"/>
        <v>-2.4787505786082898E-2</v>
      </c>
      <c r="E10" s="55">
        <f t="shared" si="48"/>
        <v>1.8998053092979483E-2</v>
      </c>
      <c r="F10" s="55">
        <f t="shared" si="48"/>
        <v>1.7276261917304327E-2</v>
      </c>
      <c r="G10" s="55">
        <f t="shared" si="48"/>
        <v>3.6060776826917371E-2</v>
      </c>
      <c r="H10" s="55">
        <f t="shared" si="48"/>
        <v>5.4911259487093633E-2</v>
      </c>
      <c r="I10" s="55">
        <f t="shared" si="48"/>
        <v>2.1278857649278973E-2</v>
      </c>
      <c r="J10" s="55">
        <f t="shared" si="48"/>
        <v>3.5215063674953223E-2</v>
      </c>
      <c r="K10" s="55">
        <f t="shared" si="48"/>
        <v>2.5272973900277541E-2</v>
      </c>
      <c r="L10" s="55">
        <f t="shared" si="48"/>
        <v>3.5481765741487453E-2</v>
      </c>
      <c r="M10" s="55">
        <f t="shared" si="48"/>
        <v>3.475676644678017E-2</v>
      </c>
      <c r="N10" s="55">
        <f t="shared" si="48"/>
        <v>3.9071199160846296E-2</v>
      </c>
      <c r="O10" s="55">
        <f t="shared" si="48"/>
        <v>4.6318798495946917E-2</v>
      </c>
      <c r="P10" s="55">
        <f t="shared" si="48"/>
        <v>0.10760971516065418</v>
      </c>
      <c r="Q10" s="55">
        <f t="shared" si="48"/>
        <v>0.10651675285661276</v>
      </c>
      <c r="R10" s="55">
        <f t="shared" si="48"/>
        <v>9.9466871164498219E-2</v>
      </c>
      <c r="S10" s="55">
        <f t="shared" si="48"/>
        <v>9.5699724068415384E-2</v>
      </c>
      <c r="T10" s="55">
        <f t="shared" si="48"/>
        <v>8.9949443889229444E-2</v>
      </c>
      <c r="U10" s="55">
        <f t="shared" si="48"/>
        <v>9.4629724680154945E-2</v>
      </c>
      <c r="V10" s="55">
        <f t="shared" si="48"/>
        <v>0.10470933525864903</v>
      </c>
      <c r="W10" s="55">
        <f t="shared" si="48"/>
        <v>0.1035601044410097</v>
      </c>
      <c r="X10" s="55">
        <f t="shared" si="48"/>
        <v>0.119898379773071</v>
      </c>
      <c r="Y10" s="55">
        <f t="shared" si="48"/>
        <v>0.122304235654006</v>
      </c>
      <c r="Z10" s="55">
        <f t="shared" si="48"/>
        <v>0.12891276838115268</v>
      </c>
      <c r="AA10" s="55">
        <f t="shared" si="48"/>
        <v>0.14445632522940233</v>
      </c>
      <c r="AB10" s="55">
        <f t="shared" si="48"/>
        <v>0.14923067332847262</v>
      </c>
      <c r="AC10" s="55">
        <f t="shared" si="48"/>
        <v>0.14537754826772831</v>
      </c>
      <c r="AD10" s="55">
        <f t="shared" si="48"/>
        <v>0.14711266296911871</v>
      </c>
      <c r="AE10" s="55">
        <f t="shared" si="48"/>
        <v>0.15891748520775734</v>
      </c>
      <c r="AF10" s="55">
        <f t="shared" si="48"/>
        <v>0.17174933403471851</v>
      </c>
      <c r="AG10" s="55">
        <f t="shared" si="48"/>
        <v>0.17810153989899588</v>
      </c>
      <c r="AH10" s="55">
        <f t="shared" si="48"/>
        <v>0.18636261092237374</v>
      </c>
      <c r="AI10" s="55">
        <f t="shared" si="48"/>
        <v>0.20918813293609784</v>
      </c>
      <c r="AJ10" s="55">
        <f t="shared" si="48"/>
        <v>0.220498708197608</v>
      </c>
      <c r="AK10" s="55">
        <f t="shared" si="48"/>
        <v>0.23332878576590763</v>
      </c>
      <c r="AL10" s="55">
        <f t="shared" si="48"/>
        <v>0.2464448251122853</v>
      </c>
      <c r="AM10" s="55">
        <f t="shared" si="48"/>
        <v>0.22979808441195904</v>
      </c>
      <c r="AN10" s="55">
        <f t="shared" si="48"/>
        <v>0.27868694313667774</v>
      </c>
      <c r="AO10" s="55">
        <f t="shared" si="48"/>
        <v>0.30348184833269948</v>
      </c>
      <c r="AP10" s="55">
        <f t="shared" si="48"/>
        <v>0.34685240392425298</v>
      </c>
      <c r="AQ10" s="55">
        <f t="shared" si="48"/>
        <v>0.37872410471860662</v>
      </c>
      <c r="AR10" s="55">
        <f t="shared" si="48"/>
        <v>0.43898048008083762</v>
      </c>
      <c r="AS10" s="55">
        <f t="shared" si="48"/>
        <v>0.47100037936282013</v>
      </c>
      <c r="AT10" s="55">
        <f t="shared" si="48"/>
        <v>0.51686448465391122</v>
      </c>
      <c r="AU10" s="55">
        <f t="shared" si="48"/>
        <v>0.56631421677242944</v>
      </c>
      <c r="AV10" s="55" t="e">
        <f t="shared" si="48"/>
        <v>#DIV/0!</v>
      </c>
    </row>
    <row r="11" spans="1:48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</row>
    <row r="12" spans="1:48" x14ac:dyDescent="0.2">
      <c r="A12" s="51" t="s">
        <v>17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</row>
    <row r="13" spans="1:48" s="2" customFormat="1" x14ac:dyDescent="0.2">
      <c r="A13" s="54" t="s">
        <v>10</v>
      </c>
      <c r="B13" s="56">
        <v>62754616</v>
      </c>
      <c r="C13" s="56">
        <v>85231000</v>
      </c>
      <c r="D13" s="56">
        <v>28349910</v>
      </c>
      <c r="E13" s="56">
        <v>56295235</v>
      </c>
      <c r="F13" s="56">
        <v>239120000</v>
      </c>
      <c r="G13" s="56">
        <v>93026467</v>
      </c>
      <c r="H13" s="56">
        <v>95361748</v>
      </c>
      <c r="I13" s="56">
        <v>141283534</v>
      </c>
      <c r="J13" s="56">
        <v>223481000</v>
      </c>
      <c r="K13" s="56">
        <v>345195000</v>
      </c>
      <c r="L13" s="56">
        <v>318390000</v>
      </c>
      <c r="M13" s="56">
        <v>425057000</v>
      </c>
      <c r="N13" s="56">
        <v>378837000</v>
      </c>
      <c r="O13" s="56">
        <v>391500382</v>
      </c>
      <c r="P13" s="56">
        <v>939810499</v>
      </c>
      <c r="Q13" s="56">
        <v>844576712</v>
      </c>
      <c r="R13" s="56">
        <v>910664379</v>
      </c>
      <c r="S13" s="56">
        <v>1152062785</v>
      </c>
      <c r="T13" s="56">
        <v>1174217244</v>
      </c>
      <c r="U13" s="56">
        <v>1468917904</v>
      </c>
      <c r="V13" s="56">
        <v>1568370895</v>
      </c>
      <c r="W13" s="56">
        <v>1685406692</v>
      </c>
      <c r="X13" s="56">
        <v>1740071385</v>
      </c>
      <c r="Y13" s="56">
        <v>2030239846</v>
      </c>
      <c r="Z13" s="56">
        <v>1894548868</v>
      </c>
      <c r="AA13" s="56">
        <v>1598050707</v>
      </c>
      <c r="AB13" s="56">
        <v>2185619224</v>
      </c>
      <c r="AC13" s="56">
        <v>2587056542</v>
      </c>
      <c r="AD13" s="56">
        <v>2781119659</v>
      </c>
      <c r="AE13" s="56">
        <v>3188676260</v>
      </c>
      <c r="AF13" s="56">
        <v>3104854114</v>
      </c>
      <c r="AG13" s="56">
        <v>2937431321</v>
      </c>
      <c r="AH13" s="56">
        <v>2530354359</v>
      </c>
      <c r="AI13" s="56">
        <v>2081610000</v>
      </c>
      <c r="AJ13" s="56">
        <v>2045613000</v>
      </c>
      <c r="AK13" s="56">
        <v>1218685479</v>
      </c>
      <c r="AL13" s="56">
        <v>1258571171</v>
      </c>
      <c r="AM13" s="56">
        <v>1350180416</v>
      </c>
      <c r="AN13" s="56">
        <v>1237490000</v>
      </c>
      <c r="AO13" s="56">
        <v>910602992</v>
      </c>
      <c r="AP13" s="56">
        <v>654310000</v>
      </c>
      <c r="AQ13" s="56">
        <v>752660000</v>
      </c>
      <c r="AR13" s="56">
        <v>639510000</v>
      </c>
      <c r="AS13" s="56">
        <v>508320000</v>
      </c>
      <c r="AT13" s="56">
        <v>425050000</v>
      </c>
      <c r="AU13" s="56">
        <v>508740000</v>
      </c>
      <c r="AV13" s="56"/>
    </row>
    <row r="14" spans="1:48" s="2" customFormat="1" x14ac:dyDescent="0.2">
      <c r="A14" s="54" t="s">
        <v>2</v>
      </c>
      <c r="B14" s="57">
        <v>56467806</v>
      </c>
      <c r="C14" s="57">
        <v>27852749</v>
      </c>
      <c r="D14" s="57">
        <v>38742267</v>
      </c>
      <c r="E14" s="57">
        <v>39729896</v>
      </c>
      <c r="F14" s="57">
        <v>68839790</v>
      </c>
      <c r="G14" s="57">
        <v>72944271</v>
      </c>
      <c r="H14" s="57">
        <v>77292930</v>
      </c>
      <c r="I14" s="57">
        <v>137603039</v>
      </c>
      <c r="J14" s="57">
        <v>210117433</v>
      </c>
      <c r="K14" s="57">
        <v>340906414</v>
      </c>
      <c r="L14" s="57">
        <v>462114153</v>
      </c>
      <c r="M14" s="57">
        <v>605317992</v>
      </c>
      <c r="N14" s="57">
        <v>610811443</v>
      </c>
      <c r="O14" s="57">
        <v>548117784</v>
      </c>
      <c r="P14" s="57">
        <v>977261801</v>
      </c>
      <c r="Q14" s="57">
        <v>1148075293</v>
      </c>
      <c r="R14" s="57">
        <v>1336722065</v>
      </c>
      <c r="S14" s="57">
        <v>1574665736</v>
      </c>
      <c r="T14" s="57">
        <v>1909467695</v>
      </c>
      <c r="U14" s="57">
        <v>2233860907</v>
      </c>
      <c r="V14" s="57">
        <v>2564628088</v>
      </c>
      <c r="W14" s="57">
        <v>2932720782</v>
      </c>
      <c r="X14" s="57">
        <v>3060330824</v>
      </c>
      <c r="Y14" s="57">
        <v>3581582216</v>
      </c>
      <c r="Z14" s="57">
        <v>4003922329</v>
      </c>
      <c r="AA14" s="57">
        <v>4102242138</v>
      </c>
      <c r="AB14" s="57">
        <v>4585975330</v>
      </c>
      <c r="AC14" s="57">
        <v>5415534204</v>
      </c>
      <c r="AD14" s="57">
        <v>6058496101</v>
      </c>
      <c r="AE14" s="57">
        <v>6925468079</v>
      </c>
      <c r="AF14" s="57">
        <v>7566202310</v>
      </c>
      <c r="AG14" s="57">
        <v>7970472842</v>
      </c>
      <c r="AH14" s="57">
        <v>7839237083</v>
      </c>
      <c r="AI14" s="57">
        <v>7465974646</v>
      </c>
      <c r="AJ14" s="57">
        <v>7115508024</v>
      </c>
      <c r="AK14" s="57">
        <v>6167948401</v>
      </c>
      <c r="AL14" s="57">
        <v>5334141026</v>
      </c>
      <c r="AM14" s="57">
        <v>4947628206</v>
      </c>
      <c r="AN14" s="57">
        <v>4557057492</v>
      </c>
      <c r="AO14" s="57">
        <v>4070098489</v>
      </c>
      <c r="AP14" s="57">
        <v>3495128155</v>
      </c>
      <c r="AQ14" s="57">
        <v>3141588026</v>
      </c>
      <c r="AR14" s="57">
        <v>2815395687</v>
      </c>
      <c r="AS14" s="57">
        <v>2434952629</v>
      </c>
      <c r="AT14" s="57">
        <v>2104718322</v>
      </c>
      <c r="AU14" s="57">
        <v>1894483733</v>
      </c>
      <c r="AV14" s="57"/>
    </row>
    <row r="15" spans="1:48" s="2" customFormat="1" x14ac:dyDescent="0.2">
      <c r="A15" s="54" t="s">
        <v>12</v>
      </c>
      <c r="B15" s="57">
        <v>7255976</v>
      </c>
      <c r="C15" s="57">
        <v>6574610</v>
      </c>
      <c r="D15" s="57">
        <v>3006901</v>
      </c>
      <c r="E15" s="57">
        <v>6306032</v>
      </c>
      <c r="F15" s="57">
        <v>8719850</v>
      </c>
      <c r="G15" s="57">
        <v>11171727</v>
      </c>
      <c r="H15" s="57">
        <v>10589557</v>
      </c>
      <c r="I15" s="57">
        <v>193085691</v>
      </c>
      <c r="J15" s="57">
        <v>30780421</v>
      </c>
      <c r="K15" s="57">
        <v>56639919</v>
      </c>
      <c r="L15" s="57">
        <v>71164229</v>
      </c>
      <c r="M15" s="57">
        <v>82187558</v>
      </c>
      <c r="N15" s="57">
        <v>95752432</v>
      </c>
      <c r="O15" s="57">
        <v>88871087</v>
      </c>
      <c r="P15" s="57">
        <v>97514819</v>
      </c>
      <c r="Q15" s="57">
        <v>123132847</v>
      </c>
      <c r="R15" s="57">
        <v>146157789</v>
      </c>
      <c r="S15" s="57">
        <v>182082762</v>
      </c>
      <c r="T15" s="57">
        <v>297378698</v>
      </c>
      <c r="U15" s="57">
        <v>262035415</v>
      </c>
      <c r="V15" s="57">
        <v>375216794</v>
      </c>
      <c r="W15" s="57">
        <v>392188233</v>
      </c>
      <c r="X15" s="57">
        <v>569733119</v>
      </c>
      <c r="Y15" s="57">
        <v>486907275</v>
      </c>
      <c r="Z15" s="57">
        <v>456579516</v>
      </c>
      <c r="AA15" s="57">
        <v>486649004</v>
      </c>
      <c r="AB15" s="57">
        <v>474055567</v>
      </c>
      <c r="AC15" s="57">
        <v>522228623</v>
      </c>
      <c r="AD15" s="57">
        <v>590369152</v>
      </c>
      <c r="AE15" s="57">
        <v>670055889</v>
      </c>
      <c r="AF15" s="57">
        <v>787813714</v>
      </c>
      <c r="AG15" s="57">
        <v>755009734</v>
      </c>
      <c r="AH15" s="57">
        <v>777545180</v>
      </c>
      <c r="AI15" s="57">
        <v>738124837</v>
      </c>
      <c r="AJ15" s="57">
        <v>698803718</v>
      </c>
      <c r="AK15" s="57">
        <v>630322470</v>
      </c>
      <c r="AL15" s="57">
        <v>538293758</v>
      </c>
      <c r="AM15" s="57">
        <v>481797500</v>
      </c>
      <c r="AN15" s="57">
        <v>440582048</v>
      </c>
      <c r="AO15" s="57">
        <v>399485427</v>
      </c>
      <c r="AP15" s="57">
        <v>340271786</v>
      </c>
      <c r="AQ15" s="57">
        <v>316029895</v>
      </c>
      <c r="AR15" s="57">
        <v>267763259</v>
      </c>
      <c r="AS15" s="57">
        <v>233618910</v>
      </c>
      <c r="AT15" s="57">
        <v>203047876</v>
      </c>
      <c r="AU15" s="57">
        <v>177008417</v>
      </c>
      <c r="AV15" s="57"/>
    </row>
    <row r="16" spans="1:48" s="2" customFormat="1" x14ac:dyDescent="0.2">
      <c r="A16" s="54" t="s">
        <v>13</v>
      </c>
      <c r="B16" s="57">
        <v>2464005</v>
      </c>
      <c r="C16" s="57"/>
      <c r="D16" s="57">
        <v>3599700</v>
      </c>
      <c r="E16" s="57">
        <v>1960138</v>
      </c>
      <c r="F16" s="57">
        <v>2362378</v>
      </c>
      <c r="G16" s="57">
        <v>2768113</v>
      </c>
      <c r="H16" s="57">
        <v>3084096</v>
      </c>
      <c r="I16" s="57">
        <v>4983794</v>
      </c>
      <c r="J16" s="57">
        <v>5978636</v>
      </c>
      <c r="K16" s="57">
        <v>13416358</v>
      </c>
      <c r="L16" s="57">
        <v>18460711</v>
      </c>
      <c r="M16" s="57">
        <v>20804501</v>
      </c>
      <c r="N16" s="57">
        <v>25382421</v>
      </c>
      <c r="O16" s="57">
        <v>25360098</v>
      </c>
      <c r="P16" s="57">
        <v>30743961</v>
      </c>
      <c r="Q16" s="57">
        <v>34674792</v>
      </c>
      <c r="R16" s="57">
        <v>37655007</v>
      </c>
      <c r="S16" s="57">
        <v>48901308</v>
      </c>
      <c r="T16" s="57">
        <v>48908220</v>
      </c>
      <c r="U16" s="57">
        <v>59840557</v>
      </c>
      <c r="V16" s="57">
        <v>69855264</v>
      </c>
      <c r="W16" s="57">
        <v>87999130</v>
      </c>
      <c r="X16" s="57">
        <v>103710403</v>
      </c>
      <c r="Y16" s="57">
        <v>115880924</v>
      </c>
      <c r="Z16" s="57">
        <v>125507729</v>
      </c>
      <c r="AA16" s="57">
        <v>144638627</v>
      </c>
      <c r="AB16" s="57">
        <v>152360708</v>
      </c>
      <c r="AC16" s="57">
        <v>179780895</v>
      </c>
      <c r="AD16" s="57">
        <v>231178798</v>
      </c>
      <c r="AE16" s="57">
        <v>235055072</v>
      </c>
      <c r="AF16" s="57">
        <v>278583513</v>
      </c>
      <c r="AG16" s="57">
        <v>275376620</v>
      </c>
      <c r="AH16" s="57">
        <v>283684675</v>
      </c>
      <c r="AI16" s="57">
        <v>271788416</v>
      </c>
      <c r="AJ16" s="57">
        <v>260885508</v>
      </c>
      <c r="AK16" s="57">
        <v>226942603</v>
      </c>
      <c r="AL16" s="57">
        <v>230083276</v>
      </c>
      <c r="AM16" s="57">
        <v>217032294</v>
      </c>
      <c r="AN16" s="57">
        <v>232015326</v>
      </c>
      <c r="AO16" s="57">
        <v>189331486</v>
      </c>
      <c r="AP16" s="57">
        <v>168563499</v>
      </c>
      <c r="AQ16" s="57">
        <v>116167400</v>
      </c>
      <c r="AR16" s="57">
        <v>95719768</v>
      </c>
      <c r="AS16" s="57">
        <v>99133333</v>
      </c>
      <c r="AT16" s="57">
        <v>86623064</v>
      </c>
      <c r="AU16" s="57">
        <v>95316575</v>
      </c>
      <c r="AV16" s="57"/>
    </row>
    <row r="17" spans="1:48" s="2" customFormat="1" x14ac:dyDescent="0.2">
      <c r="A17" s="54" t="s">
        <v>14</v>
      </c>
      <c r="B17" s="57">
        <v>740924</v>
      </c>
      <c r="C17" s="57"/>
      <c r="D17" s="57">
        <v>849261</v>
      </c>
      <c r="E17" s="57">
        <v>389338</v>
      </c>
      <c r="F17" s="57">
        <v>278100</v>
      </c>
      <c r="G17" s="57">
        <v>406041</v>
      </c>
      <c r="H17" s="57">
        <v>589011</v>
      </c>
      <c r="I17" s="57">
        <v>621398</v>
      </c>
      <c r="J17" s="57">
        <v>4478531</v>
      </c>
      <c r="K17" s="57">
        <v>16775794</v>
      </c>
      <c r="L17" s="57">
        <v>19823590</v>
      </c>
      <c r="M17" s="57">
        <v>28462981</v>
      </c>
      <c r="N17" s="57">
        <v>31047935</v>
      </c>
      <c r="O17" s="57">
        <v>36165722</v>
      </c>
      <c r="P17" s="57">
        <v>34765904</v>
      </c>
      <c r="Q17" s="57">
        <v>42183924</v>
      </c>
      <c r="R17" s="57">
        <v>47615241</v>
      </c>
      <c r="S17" s="57">
        <v>41492738</v>
      </c>
      <c r="T17" s="57">
        <v>45718688</v>
      </c>
      <c r="U17" s="57">
        <v>59091919</v>
      </c>
      <c r="V17" s="57">
        <v>85486029</v>
      </c>
      <c r="W17" s="57">
        <v>121648396</v>
      </c>
      <c r="X17" s="57">
        <v>139748202</v>
      </c>
      <c r="Y17" s="57">
        <v>138611833</v>
      </c>
      <c r="Z17" s="57">
        <v>122237776</v>
      </c>
      <c r="AA17" s="57">
        <v>129175250</v>
      </c>
      <c r="AB17" s="57">
        <v>132973278</v>
      </c>
      <c r="AC17" s="57">
        <v>148708585</v>
      </c>
      <c r="AD17" s="57">
        <v>153363753</v>
      </c>
      <c r="AE17" s="57">
        <v>167309807</v>
      </c>
      <c r="AF17" s="57">
        <v>229087705</v>
      </c>
      <c r="AG17" s="57">
        <v>247554550</v>
      </c>
      <c r="AH17" s="57">
        <v>235470926</v>
      </c>
      <c r="AI17" s="57">
        <v>214162671</v>
      </c>
      <c r="AJ17" s="57">
        <v>251225450</v>
      </c>
      <c r="AK17" s="57">
        <v>176095868</v>
      </c>
      <c r="AL17" s="57">
        <v>162248961</v>
      </c>
      <c r="AM17" s="57">
        <v>127390084</v>
      </c>
      <c r="AN17" s="57">
        <v>105567619</v>
      </c>
      <c r="AO17" s="57">
        <v>97384997</v>
      </c>
      <c r="AP17" s="57">
        <v>99955530</v>
      </c>
      <c r="AQ17" s="57">
        <v>83594872</v>
      </c>
      <c r="AR17" s="57">
        <v>80300443</v>
      </c>
      <c r="AS17" s="57">
        <v>76444797</v>
      </c>
      <c r="AT17" s="57">
        <v>63771154</v>
      </c>
      <c r="AU17" s="57">
        <v>55563328</v>
      </c>
      <c r="AV17" s="57"/>
    </row>
    <row r="18" spans="1:48" s="2" customFormat="1" x14ac:dyDescent="0.2">
      <c r="A18" s="54" t="s">
        <v>15</v>
      </c>
      <c r="B18" s="57">
        <v>50565</v>
      </c>
      <c r="C18" s="57">
        <v>1577008</v>
      </c>
      <c r="D18" s="57">
        <v>-806196</v>
      </c>
      <c r="E18" s="57">
        <f>E19+2081581</f>
        <v>1767451</v>
      </c>
      <c r="F18" s="57">
        <f>F19+119963</f>
        <v>860115</v>
      </c>
      <c r="G18" s="57">
        <f>G19+97069-505018</f>
        <v>1030579</v>
      </c>
      <c r="H18" s="57">
        <f>H19+1431214-265824</f>
        <v>1332717</v>
      </c>
      <c r="I18" s="57">
        <f>I19+336117-2082378</f>
        <v>636589</v>
      </c>
      <c r="J18" s="57">
        <f>J19+717999-1491983</f>
        <v>6867812</v>
      </c>
      <c r="K18" s="57">
        <f>K19+937700-667977</f>
        <v>1271400</v>
      </c>
      <c r="L18" s="57">
        <f>L19+7775228-4722878</f>
        <v>2523975</v>
      </c>
      <c r="M18" s="57">
        <f>M19+5107719-196308</f>
        <v>4119152</v>
      </c>
      <c r="N18" s="57">
        <f>N19+3051418-528000</f>
        <v>4649625</v>
      </c>
      <c r="O18" s="57">
        <f>O19+5810437-579600</f>
        <v>2352233</v>
      </c>
      <c r="P18" s="57">
        <f>P19+7264928-264060</f>
        <v>9610240</v>
      </c>
      <c r="Q18" s="57">
        <v>15553213</v>
      </c>
      <c r="R18" s="57">
        <v>12025624</v>
      </c>
      <c r="S18" s="57">
        <v>7470023</v>
      </c>
      <c r="T18" s="57">
        <v>6738615</v>
      </c>
      <c r="U18" s="57">
        <v>33075192</v>
      </c>
      <c r="V18" s="57">
        <v>59821660</v>
      </c>
      <c r="W18" s="57">
        <v>36972362</v>
      </c>
      <c r="X18" s="57">
        <v>73789585</v>
      </c>
      <c r="Y18" s="57">
        <v>76028591</v>
      </c>
      <c r="Z18" s="57">
        <v>119815804</v>
      </c>
      <c r="AA18" s="57">
        <v>119775996</v>
      </c>
      <c r="AB18" s="57">
        <v>119477691</v>
      </c>
      <c r="AC18" s="57">
        <v>107343438</v>
      </c>
      <c r="AD18" s="57">
        <v>109847337</v>
      </c>
      <c r="AE18" s="57">
        <v>150689480</v>
      </c>
      <c r="AF18" s="57">
        <v>159023436</v>
      </c>
      <c r="AG18" s="57">
        <v>102779185</v>
      </c>
      <c r="AH18" s="57">
        <v>123176197</v>
      </c>
      <c r="AI18" s="57">
        <v>125374077</v>
      </c>
      <c r="AJ18" s="57">
        <v>65767712</v>
      </c>
      <c r="AK18" s="57">
        <v>120832336</v>
      </c>
      <c r="AL18" s="57">
        <v>58767807</v>
      </c>
      <c r="AM18" s="57">
        <v>60815871</v>
      </c>
      <c r="AN18" s="57">
        <v>43685204</v>
      </c>
      <c r="AO18" s="57">
        <v>59770697</v>
      </c>
      <c r="AP18" s="57">
        <v>24395105</v>
      </c>
      <c r="AQ18" s="57">
        <v>72875173</v>
      </c>
      <c r="AR18" s="57">
        <v>54100393</v>
      </c>
      <c r="AS18" s="57">
        <v>31360623</v>
      </c>
      <c r="AT18" s="57">
        <v>37268594</v>
      </c>
      <c r="AU18" s="57">
        <v>59680924</v>
      </c>
      <c r="AV18" s="57"/>
    </row>
    <row r="19" spans="1:48" s="2" customFormat="1" x14ac:dyDescent="0.2">
      <c r="A19" s="54" t="s">
        <v>137</v>
      </c>
      <c r="B19" s="57">
        <f>7255976-3978921-3204929</f>
        <v>72126</v>
      </c>
      <c r="C19" s="57">
        <f>6574610-3389045-5021945</f>
        <v>-1836380</v>
      </c>
      <c r="D19" s="57">
        <f>3006901-2617242-4448961</f>
        <v>-4059302</v>
      </c>
      <c r="E19" s="57">
        <f>6306032-4270686-2349476</f>
        <v>-314130</v>
      </c>
      <c r="F19" s="57">
        <f>8719850-5339220-2640478</f>
        <v>740152</v>
      </c>
      <c r="G19" s="57">
        <f>11171727-6559045-3174154</f>
        <v>1438528</v>
      </c>
      <c r="H19" s="57">
        <f>10589557-6749123-3673107</f>
        <v>167327</v>
      </c>
      <c r="I19" s="57">
        <f>18256921-10268879-5605192</f>
        <v>2382850</v>
      </c>
      <c r="J19" s="57">
        <f>30780421-12681458-10457167</f>
        <v>7641796</v>
      </c>
      <c r="K19" s="57">
        <f>56639919-25446090-30192152</f>
        <v>1001677</v>
      </c>
      <c r="L19" s="57">
        <f>71164229-32408303-39284301</f>
        <v>-528375</v>
      </c>
      <c r="M19" s="57">
        <f>82187558-34312335-48667482</f>
        <v>-792259</v>
      </c>
      <c r="N19" s="57">
        <f>95752432-37195869-56430356</f>
        <v>2126207</v>
      </c>
      <c r="O19" s="57">
        <f>88871087-30223871-61525820</f>
        <v>-2878604</v>
      </c>
      <c r="P19" s="57">
        <f>97514819-29395582-65509865</f>
        <v>2609372</v>
      </c>
      <c r="Q19" s="57">
        <v>10180822</v>
      </c>
      <c r="R19" s="57">
        <v>9451395</v>
      </c>
      <c r="S19" s="57">
        <v>-1446744</v>
      </c>
      <c r="T19" s="57">
        <v>5737693</v>
      </c>
      <c r="U19" s="57">
        <v>35156642</v>
      </c>
      <c r="V19" s="57">
        <v>60867758</v>
      </c>
      <c r="W19" s="57">
        <v>33727347</v>
      </c>
      <c r="X19" s="57">
        <v>69394481</v>
      </c>
      <c r="Y19" s="57">
        <v>69299278</v>
      </c>
      <c r="Z19" s="57">
        <v>119560429</v>
      </c>
      <c r="AA19" s="57">
        <v>112528679</v>
      </c>
      <c r="AB19" s="57">
        <v>113595072</v>
      </c>
      <c r="AC19" s="57">
        <v>105450199</v>
      </c>
      <c r="AD19" s="57">
        <v>108262305</v>
      </c>
      <c r="AE19" s="57">
        <v>140375857</v>
      </c>
      <c r="AF19" s="57">
        <v>152115256</v>
      </c>
      <c r="AG19" s="57">
        <v>96898236</v>
      </c>
      <c r="AH19" s="57">
        <v>118107210</v>
      </c>
      <c r="AI19" s="57">
        <v>114240307</v>
      </c>
      <c r="AJ19" s="57">
        <v>63067175</v>
      </c>
      <c r="AK19" s="57">
        <v>117620495</v>
      </c>
      <c r="AL19" s="57">
        <v>47916539</v>
      </c>
      <c r="AM19" s="57">
        <v>47564492</v>
      </c>
      <c r="AN19" s="57">
        <v>24665844</v>
      </c>
      <c r="AO19" s="57">
        <v>41386856</v>
      </c>
      <c r="AP19" s="57">
        <v>10738272</v>
      </c>
      <c r="AQ19" s="57">
        <v>62087383</v>
      </c>
      <c r="AR19" s="57">
        <v>48006468</v>
      </c>
      <c r="AS19" s="57">
        <v>24579232</v>
      </c>
      <c r="AT19" s="57">
        <v>25899366</v>
      </c>
      <c r="AU19" s="57">
        <v>4478488</v>
      </c>
      <c r="AV19" s="57"/>
    </row>
    <row r="20" spans="1:48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</row>
    <row r="21" spans="1:48" x14ac:dyDescent="0.2">
      <c r="A21" s="51" t="s">
        <v>18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</row>
    <row r="22" spans="1:48" s="2" customFormat="1" x14ac:dyDescent="0.2">
      <c r="A22" s="54" t="s">
        <v>19</v>
      </c>
      <c r="B22" s="52">
        <f t="shared" ref="B22:AV22" si="49">B14</f>
        <v>56467806</v>
      </c>
      <c r="C22" s="52">
        <f t="shared" si="49"/>
        <v>27852749</v>
      </c>
      <c r="D22" s="52">
        <f t="shared" si="49"/>
        <v>38742267</v>
      </c>
      <c r="E22" s="52">
        <f t="shared" si="49"/>
        <v>39729896</v>
      </c>
      <c r="F22" s="52">
        <f t="shared" si="49"/>
        <v>68839790</v>
      </c>
      <c r="G22" s="52">
        <f t="shared" si="49"/>
        <v>72944271</v>
      </c>
      <c r="H22" s="52">
        <f t="shared" si="49"/>
        <v>77292930</v>
      </c>
      <c r="I22" s="52">
        <f t="shared" si="49"/>
        <v>137603039</v>
      </c>
      <c r="J22" s="52">
        <f t="shared" si="49"/>
        <v>210117433</v>
      </c>
      <c r="K22" s="52">
        <f t="shared" si="49"/>
        <v>340906414</v>
      </c>
      <c r="L22" s="52">
        <f t="shared" si="49"/>
        <v>462114153</v>
      </c>
      <c r="M22" s="52">
        <f t="shared" si="49"/>
        <v>605317992</v>
      </c>
      <c r="N22" s="52">
        <f t="shared" si="49"/>
        <v>610811443</v>
      </c>
      <c r="O22" s="52">
        <f t="shared" si="49"/>
        <v>548117784</v>
      </c>
      <c r="P22" s="52">
        <f t="shared" si="49"/>
        <v>977261801</v>
      </c>
      <c r="Q22" s="52">
        <f t="shared" si="49"/>
        <v>1148075293</v>
      </c>
      <c r="R22" s="52">
        <f t="shared" si="49"/>
        <v>1336722065</v>
      </c>
      <c r="S22" s="52">
        <f t="shared" si="49"/>
        <v>1574665736</v>
      </c>
      <c r="T22" s="52">
        <f t="shared" si="49"/>
        <v>1909467695</v>
      </c>
      <c r="U22" s="52">
        <f t="shared" si="49"/>
        <v>2233860907</v>
      </c>
      <c r="V22" s="52">
        <f t="shared" si="49"/>
        <v>2564628088</v>
      </c>
      <c r="W22" s="52">
        <f t="shared" si="49"/>
        <v>2932720782</v>
      </c>
      <c r="X22" s="52">
        <f t="shared" si="49"/>
        <v>3060330824</v>
      </c>
      <c r="Y22" s="52">
        <f t="shared" si="49"/>
        <v>3581582216</v>
      </c>
      <c r="Z22" s="52">
        <f t="shared" si="49"/>
        <v>4003922329</v>
      </c>
      <c r="AA22" s="52">
        <f t="shared" si="49"/>
        <v>4102242138</v>
      </c>
      <c r="AB22" s="52">
        <f t="shared" si="49"/>
        <v>4585975330</v>
      </c>
      <c r="AC22" s="52">
        <f t="shared" si="49"/>
        <v>5415534204</v>
      </c>
      <c r="AD22" s="52">
        <f t="shared" si="49"/>
        <v>6058496101</v>
      </c>
      <c r="AE22" s="52">
        <f t="shared" si="49"/>
        <v>6925468079</v>
      </c>
      <c r="AF22" s="52">
        <f t="shared" si="49"/>
        <v>7566202310</v>
      </c>
      <c r="AG22" s="52">
        <f t="shared" si="49"/>
        <v>7970472842</v>
      </c>
      <c r="AH22" s="52">
        <f t="shared" si="49"/>
        <v>7839237083</v>
      </c>
      <c r="AI22" s="52">
        <f t="shared" si="49"/>
        <v>7465974646</v>
      </c>
      <c r="AJ22" s="52">
        <f t="shared" si="49"/>
        <v>7115508024</v>
      </c>
      <c r="AK22" s="52">
        <f t="shared" si="49"/>
        <v>6167948401</v>
      </c>
      <c r="AL22" s="52">
        <f t="shared" si="49"/>
        <v>5334141026</v>
      </c>
      <c r="AM22" s="52">
        <f t="shared" si="49"/>
        <v>4947628206</v>
      </c>
      <c r="AN22" s="52">
        <f t="shared" si="49"/>
        <v>4557057492</v>
      </c>
      <c r="AO22" s="52">
        <f t="shared" si="49"/>
        <v>4070098489</v>
      </c>
      <c r="AP22" s="52">
        <f t="shared" si="49"/>
        <v>3495128155</v>
      </c>
      <c r="AQ22" s="52">
        <f t="shared" si="49"/>
        <v>3141588026</v>
      </c>
      <c r="AR22" s="52">
        <f t="shared" si="49"/>
        <v>2815395687</v>
      </c>
      <c r="AS22" s="52">
        <f t="shared" si="49"/>
        <v>2434952629</v>
      </c>
      <c r="AT22" s="52">
        <f t="shared" si="49"/>
        <v>2104718322</v>
      </c>
      <c r="AU22" s="52">
        <f t="shared" si="49"/>
        <v>1894483733</v>
      </c>
      <c r="AV22" s="52">
        <f t="shared" si="49"/>
        <v>0</v>
      </c>
    </row>
    <row r="23" spans="1:48" s="2" customFormat="1" x14ac:dyDescent="0.2">
      <c r="A23" s="54" t="s">
        <v>20</v>
      </c>
      <c r="B23" s="52">
        <f t="shared" ref="B23:AV23" si="50">B14</f>
        <v>56467806</v>
      </c>
      <c r="C23" s="52">
        <f t="shared" si="50"/>
        <v>27852749</v>
      </c>
      <c r="D23" s="52">
        <f t="shared" si="50"/>
        <v>38742267</v>
      </c>
      <c r="E23" s="52">
        <f t="shared" si="50"/>
        <v>39729896</v>
      </c>
      <c r="F23" s="52">
        <f t="shared" si="50"/>
        <v>68839790</v>
      </c>
      <c r="G23" s="52">
        <f t="shared" si="50"/>
        <v>72944271</v>
      </c>
      <c r="H23" s="52">
        <f t="shared" si="50"/>
        <v>77292930</v>
      </c>
      <c r="I23" s="52">
        <f t="shared" si="50"/>
        <v>137603039</v>
      </c>
      <c r="J23" s="52">
        <f t="shared" si="50"/>
        <v>210117433</v>
      </c>
      <c r="K23" s="52">
        <f t="shared" si="50"/>
        <v>340906414</v>
      </c>
      <c r="L23" s="52">
        <f t="shared" si="50"/>
        <v>462114153</v>
      </c>
      <c r="M23" s="52">
        <f t="shared" si="50"/>
        <v>605317992</v>
      </c>
      <c r="N23" s="52">
        <f t="shared" si="50"/>
        <v>610811443</v>
      </c>
      <c r="O23" s="52">
        <f t="shared" si="50"/>
        <v>548117784</v>
      </c>
      <c r="P23" s="52">
        <f t="shared" si="50"/>
        <v>977261801</v>
      </c>
      <c r="Q23" s="52">
        <f t="shared" si="50"/>
        <v>1148075293</v>
      </c>
      <c r="R23" s="52">
        <f t="shared" si="50"/>
        <v>1336722065</v>
      </c>
      <c r="S23" s="52">
        <f t="shared" si="50"/>
        <v>1574665736</v>
      </c>
      <c r="T23" s="52">
        <f t="shared" si="50"/>
        <v>1909467695</v>
      </c>
      <c r="U23" s="52">
        <f t="shared" si="50"/>
        <v>2233860907</v>
      </c>
      <c r="V23" s="52">
        <f t="shared" si="50"/>
        <v>2564628088</v>
      </c>
      <c r="W23" s="52">
        <f t="shared" si="50"/>
        <v>2932720782</v>
      </c>
      <c r="X23" s="52">
        <f t="shared" si="50"/>
        <v>3060330824</v>
      </c>
      <c r="Y23" s="52">
        <f t="shared" si="50"/>
        <v>3581582216</v>
      </c>
      <c r="Z23" s="52">
        <f t="shared" si="50"/>
        <v>4003922329</v>
      </c>
      <c r="AA23" s="52">
        <f t="shared" si="50"/>
        <v>4102242138</v>
      </c>
      <c r="AB23" s="52">
        <f t="shared" si="50"/>
        <v>4585975330</v>
      </c>
      <c r="AC23" s="52">
        <f t="shared" si="50"/>
        <v>5415534204</v>
      </c>
      <c r="AD23" s="52">
        <f t="shared" si="50"/>
        <v>6058496101</v>
      </c>
      <c r="AE23" s="52">
        <f t="shared" si="50"/>
        <v>6925468079</v>
      </c>
      <c r="AF23" s="52">
        <f t="shared" si="50"/>
        <v>7566202310</v>
      </c>
      <c r="AG23" s="52">
        <f t="shared" si="50"/>
        <v>7970472842</v>
      </c>
      <c r="AH23" s="52">
        <f t="shared" si="50"/>
        <v>7839237083</v>
      </c>
      <c r="AI23" s="52">
        <f t="shared" si="50"/>
        <v>7465974646</v>
      </c>
      <c r="AJ23" s="52">
        <f t="shared" si="50"/>
        <v>7115508024</v>
      </c>
      <c r="AK23" s="52">
        <f t="shared" si="50"/>
        <v>6167948401</v>
      </c>
      <c r="AL23" s="52">
        <f t="shared" si="50"/>
        <v>5334141026</v>
      </c>
      <c r="AM23" s="52">
        <f t="shared" si="50"/>
        <v>4947628206</v>
      </c>
      <c r="AN23" s="52">
        <f t="shared" si="50"/>
        <v>4557057492</v>
      </c>
      <c r="AO23" s="52">
        <f t="shared" si="50"/>
        <v>4070098489</v>
      </c>
      <c r="AP23" s="52">
        <f t="shared" si="50"/>
        <v>3495128155</v>
      </c>
      <c r="AQ23" s="52">
        <f t="shared" si="50"/>
        <v>3141588026</v>
      </c>
      <c r="AR23" s="52">
        <f t="shared" si="50"/>
        <v>2815395687</v>
      </c>
      <c r="AS23" s="52">
        <f t="shared" si="50"/>
        <v>2434952629</v>
      </c>
      <c r="AT23" s="52">
        <f t="shared" si="50"/>
        <v>2104718322</v>
      </c>
      <c r="AU23" s="52">
        <f t="shared" si="50"/>
        <v>1894483733</v>
      </c>
      <c r="AV23" s="52">
        <f t="shared" si="50"/>
        <v>0</v>
      </c>
    </row>
    <row r="24" spans="1:48" s="2" customFormat="1" x14ac:dyDescent="0.2">
      <c r="A24" s="54" t="s">
        <v>21</v>
      </c>
      <c r="B24" s="57">
        <v>60000000</v>
      </c>
      <c r="C24" s="57">
        <v>39000000</v>
      </c>
      <c r="D24" s="57">
        <v>45000000</v>
      </c>
      <c r="E24" s="57">
        <v>55000000</v>
      </c>
      <c r="F24" s="57">
        <v>101900000</v>
      </c>
      <c r="G24" s="57">
        <v>86100000</v>
      </c>
      <c r="H24" s="57">
        <v>78600000</v>
      </c>
      <c r="I24" s="57">
        <v>183100000</v>
      </c>
      <c r="J24" s="57">
        <v>272600000</v>
      </c>
      <c r="K24" s="57">
        <v>321550000</v>
      </c>
      <c r="L24" s="57">
        <v>393657000</v>
      </c>
      <c r="M24" s="57">
        <v>604980400</v>
      </c>
      <c r="N24" s="57">
        <v>645000000</v>
      </c>
      <c r="O24" s="57">
        <v>590000000</v>
      </c>
      <c r="P24" s="57">
        <v>905000000</v>
      </c>
      <c r="Q24" s="57">
        <v>1058099869</v>
      </c>
      <c r="R24" s="57">
        <v>1261886480</v>
      </c>
      <c r="S24" s="57">
        <v>1420160735</v>
      </c>
      <c r="T24" s="57">
        <v>1694146360</v>
      </c>
      <c r="U24" s="57">
        <v>1979916857</v>
      </c>
      <c r="V24" s="57">
        <v>2235884261</v>
      </c>
      <c r="W24" s="57">
        <v>2643455535</v>
      </c>
      <c r="X24" s="57">
        <v>2719527471</v>
      </c>
      <c r="Y24" s="57">
        <v>3153997281</v>
      </c>
      <c r="Z24" s="57">
        <v>3500310515</v>
      </c>
      <c r="AA24" s="57">
        <v>3552011194</v>
      </c>
      <c r="AB24" s="57">
        <v>3935335449</v>
      </c>
      <c r="AC24" s="57">
        <v>4214754287</v>
      </c>
      <c r="AD24" s="57">
        <v>4862000000</v>
      </c>
      <c r="AE24" s="57">
        <v>5393531577</v>
      </c>
      <c r="AF24" s="57">
        <v>5722201988</v>
      </c>
      <c r="AG24" s="57">
        <v>6169460796</v>
      </c>
      <c r="AH24" s="57">
        <v>6025694408</v>
      </c>
      <c r="AI24" s="57">
        <v>5707401544</v>
      </c>
      <c r="AJ24" s="57">
        <v>5209257778</v>
      </c>
      <c r="AK24" s="57">
        <v>4768492682</v>
      </c>
      <c r="AL24" s="57">
        <v>4479998866</v>
      </c>
      <c r="AM24" s="57">
        <v>3911871805</v>
      </c>
      <c r="AN24" s="57">
        <v>3500290961</v>
      </c>
      <c r="AO24" s="57">
        <v>3142982057</v>
      </c>
      <c r="AP24" s="57">
        <v>2615026484</v>
      </c>
      <c r="AQ24" s="57">
        <v>2287394117</v>
      </c>
      <c r="AR24" s="57">
        <v>1873861231</v>
      </c>
      <c r="AS24" s="57">
        <v>1548811522</v>
      </c>
      <c r="AT24" s="57">
        <v>1268932009</v>
      </c>
      <c r="AU24" s="57">
        <v>1058581768</v>
      </c>
      <c r="AV24" s="57"/>
    </row>
    <row r="25" spans="1:48" s="2" customFormat="1" x14ac:dyDescent="0.2">
      <c r="A25" s="54" t="s">
        <v>3</v>
      </c>
      <c r="B25" s="57">
        <v>507500</v>
      </c>
      <c r="C25" s="57">
        <v>991000</v>
      </c>
      <c r="D25" s="57">
        <v>891000</v>
      </c>
      <c r="E25" s="57">
        <v>1240500</v>
      </c>
      <c r="F25" s="57">
        <v>1761000</v>
      </c>
      <c r="G25" s="57">
        <v>2106000</v>
      </c>
      <c r="H25" s="57">
        <v>2214000</v>
      </c>
      <c r="I25" s="57">
        <v>2846000</v>
      </c>
      <c r="J25" s="57">
        <v>2808000</v>
      </c>
      <c r="K25" s="57">
        <v>5998500</v>
      </c>
      <c r="L25" s="57">
        <v>11698969</v>
      </c>
      <c r="M25" s="57">
        <v>18147500</v>
      </c>
      <c r="N25" s="57">
        <v>21274000</v>
      </c>
      <c r="O25" s="57">
        <v>24246331</v>
      </c>
      <c r="P25" s="57">
        <v>106193674</v>
      </c>
      <c r="Q25" s="57">
        <v>117599803</v>
      </c>
      <c r="R25" s="57">
        <v>131227450</v>
      </c>
      <c r="S25" s="57">
        <v>138978980</v>
      </c>
      <c r="T25" s="57">
        <v>160903445</v>
      </c>
      <c r="U25" s="57">
        <v>181076991</v>
      </c>
      <c r="V25" s="57">
        <v>222661591</v>
      </c>
      <c r="W25" s="57">
        <v>256665890</v>
      </c>
      <c r="X25" s="57">
        <v>281799053</v>
      </c>
      <c r="Y25" s="57">
        <v>325628242</v>
      </c>
      <c r="Z25" s="57">
        <v>359110500</v>
      </c>
      <c r="AA25" s="57">
        <v>400766500</v>
      </c>
      <c r="AB25" s="57">
        <v>456753500</v>
      </c>
      <c r="AC25" s="57">
        <v>526283000</v>
      </c>
      <c r="AD25" s="57">
        <v>610693000</v>
      </c>
      <c r="AE25" s="57">
        <v>767294500</v>
      </c>
      <c r="AF25" s="57">
        <v>898358000</v>
      </c>
      <c r="AG25" s="57">
        <v>998373500</v>
      </c>
      <c r="AH25" s="57">
        <v>1014793500</v>
      </c>
      <c r="AI25" s="57">
        <v>1063673000</v>
      </c>
      <c r="AJ25" s="57">
        <v>1073210000</v>
      </c>
      <c r="AK25" s="57">
        <v>944397500</v>
      </c>
      <c r="AL25" s="57">
        <v>910822500</v>
      </c>
      <c r="AM25" s="57">
        <v>882198500</v>
      </c>
      <c r="AN25" s="57">
        <v>857604500</v>
      </c>
      <c r="AO25" s="57">
        <v>813657000</v>
      </c>
      <c r="AP25" s="57">
        <v>783969000</v>
      </c>
      <c r="AQ25" s="57">
        <v>768776000</v>
      </c>
      <c r="AR25" s="57">
        <v>815266000</v>
      </c>
      <c r="AS25" s="57">
        <v>757387000</v>
      </c>
      <c r="AT25" s="57">
        <v>730070000</v>
      </c>
      <c r="AU25" s="57">
        <v>700307500</v>
      </c>
      <c r="AV25" s="57"/>
    </row>
    <row r="26" spans="1:48" s="2" customFormat="1" x14ac:dyDescent="0.2">
      <c r="A26" s="54" t="s">
        <v>4</v>
      </c>
      <c r="B26" s="57">
        <f>467763+48000</f>
        <v>515763</v>
      </c>
      <c r="C26" s="57">
        <v>-1265578</v>
      </c>
      <c r="D26" s="57">
        <v>-2006229</v>
      </c>
      <c r="E26" s="57">
        <v>-123689</v>
      </c>
      <c r="F26" s="57">
        <v>141455</v>
      </c>
      <c r="G26" s="57">
        <v>1323534</v>
      </c>
      <c r="H26" s="57">
        <v>2733427</v>
      </c>
      <c r="I26" s="57">
        <f>434145+968240</f>
        <v>1402385</v>
      </c>
      <c r="J26" s="57">
        <f>434145+7286799</f>
        <v>7720944</v>
      </c>
      <c r="K26" s="57">
        <f>1064145+3848329</f>
        <v>4912474</v>
      </c>
      <c r="L26" s="57">
        <f>1344145+5357686</f>
        <v>6701831</v>
      </c>
      <c r="M26" s="57">
        <f>1944145+1010000+2707744</f>
        <v>5661889</v>
      </c>
      <c r="N26" s="57">
        <f>2244145+1160000+3312494</f>
        <v>6716639</v>
      </c>
      <c r="O26" s="57">
        <v>6275288</v>
      </c>
      <c r="P26" s="57">
        <v>8057146</v>
      </c>
      <c r="Q26" s="57">
        <v>14486841</v>
      </c>
      <c r="R26" s="57">
        <v>15264177</v>
      </c>
      <c r="S26" s="57">
        <v>18943976</v>
      </c>
      <c r="T26" s="57">
        <v>17100574</v>
      </c>
      <c r="U26" s="57">
        <v>40039560</v>
      </c>
      <c r="V26" s="57">
        <v>58683367</v>
      </c>
      <c r="W26" s="57">
        <v>68707809</v>
      </c>
      <c r="X26" s="57">
        <v>107187895</v>
      </c>
      <c r="Y26" s="57">
        <v>132176267</v>
      </c>
      <c r="Z26" s="57">
        <v>181046564</v>
      </c>
      <c r="AA26" s="57">
        <v>223636189</v>
      </c>
      <c r="AB26" s="57">
        <v>262129230</v>
      </c>
      <c r="AC26" s="57">
        <v>293222673</v>
      </c>
      <c r="AD26" s="57">
        <v>321397928</v>
      </c>
      <c r="AE26" s="57">
        <v>379443377</v>
      </c>
      <c r="AF26" s="57">
        <v>441066319</v>
      </c>
      <c r="AG26" s="57">
        <v>458929196</v>
      </c>
      <c r="AH26" s="57">
        <v>485045125</v>
      </c>
      <c r="AI26" s="57">
        <v>532630554</v>
      </c>
      <c r="AJ26" s="57">
        <v>536411203</v>
      </c>
      <c r="AK26" s="57">
        <v>596461234</v>
      </c>
      <c r="AL26" s="57">
        <v>606555044</v>
      </c>
      <c r="AM26" s="57">
        <v>362713163</v>
      </c>
      <c r="AN26" s="57">
        <v>599959685</v>
      </c>
      <c r="AO26" s="57">
        <v>623020770</v>
      </c>
      <c r="AP26" s="57">
        <v>634730392</v>
      </c>
      <c r="AQ26" s="57">
        <v>681419859</v>
      </c>
      <c r="AR26" s="57">
        <v>709618038</v>
      </c>
      <c r="AS26" s="57">
        <v>721941240</v>
      </c>
      <c r="AT26" s="57">
        <v>741193289</v>
      </c>
      <c r="AU26" s="57">
        <v>780542358</v>
      </c>
      <c r="AV26" s="57"/>
    </row>
    <row r="27" spans="1:48" s="2" customFormat="1" x14ac:dyDescent="0.2">
      <c r="A27" s="54" t="s">
        <v>22</v>
      </c>
      <c r="B27" s="52">
        <f t="shared" ref="B27:AV27" si="51">B9</f>
        <v>1023263</v>
      </c>
      <c r="C27" s="52">
        <f t="shared" si="51"/>
        <v>-274578</v>
      </c>
      <c r="D27" s="52">
        <f t="shared" si="51"/>
        <v>-1115229</v>
      </c>
      <c r="E27" s="52">
        <f t="shared" si="51"/>
        <v>1116811</v>
      </c>
      <c r="F27" s="52">
        <f t="shared" si="51"/>
        <v>1902455</v>
      </c>
      <c r="G27" s="52">
        <f t="shared" si="51"/>
        <v>3429534</v>
      </c>
      <c r="H27" s="52">
        <f t="shared" si="51"/>
        <v>4947427</v>
      </c>
      <c r="I27" s="52">
        <f t="shared" si="51"/>
        <v>4248385</v>
      </c>
      <c r="J27" s="52">
        <f t="shared" si="51"/>
        <v>10528944</v>
      </c>
      <c r="K27" s="52">
        <f t="shared" si="51"/>
        <v>10910974</v>
      </c>
      <c r="L27" s="52">
        <f t="shared" si="51"/>
        <v>18400800</v>
      </c>
      <c r="M27" s="52">
        <f t="shared" si="51"/>
        <v>23809389</v>
      </c>
      <c r="N27" s="52">
        <f t="shared" si="51"/>
        <v>27990639</v>
      </c>
      <c r="O27" s="52">
        <f t="shared" si="51"/>
        <v>30521619</v>
      </c>
      <c r="P27" s="52">
        <f t="shared" si="51"/>
        <v>114250820</v>
      </c>
      <c r="Q27" s="52">
        <f t="shared" si="51"/>
        <v>132086644</v>
      </c>
      <c r="R27" s="52">
        <f t="shared" si="51"/>
        <v>146491627</v>
      </c>
      <c r="S27" s="52">
        <f t="shared" si="51"/>
        <v>157922956</v>
      </c>
      <c r="T27" s="52">
        <f t="shared" si="51"/>
        <v>178004019</v>
      </c>
      <c r="U27" s="52">
        <f t="shared" si="51"/>
        <v>221116551</v>
      </c>
      <c r="V27" s="52">
        <f t="shared" si="51"/>
        <v>281344958</v>
      </c>
      <c r="W27" s="52">
        <f t="shared" si="51"/>
        <v>325373699</v>
      </c>
      <c r="X27" s="52">
        <f t="shared" si="51"/>
        <v>388986948</v>
      </c>
      <c r="Y27" s="52">
        <f t="shared" si="51"/>
        <v>457804509</v>
      </c>
      <c r="Z27" s="52">
        <f t="shared" si="51"/>
        <v>540157064</v>
      </c>
      <c r="AA27" s="52">
        <f t="shared" si="51"/>
        <v>624402689</v>
      </c>
      <c r="AB27" s="52">
        <f t="shared" si="51"/>
        <v>718882730</v>
      </c>
      <c r="AC27" s="52">
        <f t="shared" si="51"/>
        <v>819505673</v>
      </c>
      <c r="AD27" s="52">
        <f t="shared" si="51"/>
        <v>932090928</v>
      </c>
      <c r="AE27" s="52">
        <f t="shared" si="51"/>
        <v>1146737877</v>
      </c>
      <c r="AF27" s="52">
        <f t="shared" si="51"/>
        <v>1339424319</v>
      </c>
      <c r="AG27" s="52">
        <f t="shared" si="51"/>
        <v>1457302696</v>
      </c>
      <c r="AH27" s="52">
        <f t="shared" si="51"/>
        <v>1499838625</v>
      </c>
      <c r="AI27" s="52">
        <f t="shared" si="51"/>
        <v>1596303554</v>
      </c>
      <c r="AJ27" s="52">
        <f t="shared" si="51"/>
        <v>1609621203</v>
      </c>
      <c r="AK27" s="52">
        <f t="shared" si="51"/>
        <v>1540858734</v>
      </c>
      <c r="AL27" s="52">
        <f t="shared" si="51"/>
        <v>1517377544</v>
      </c>
      <c r="AM27" s="52">
        <f t="shared" si="51"/>
        <v>1244911663</v>
      </c>
      <c r="AN27" s="52">
        <f t="shared" si="51"/>
        <v>1457564185</v>
      </c>
      <c r="AO27" s="52">
        <f t="shared" si="51"/>
        <v>1436677770</v>
      </c>
      <c r="AP27" s="52">
        <f t="shared" si="51"/>
        <v>1418699392</v>
      </c>
      <c r="AQ27" s="52">
        <f t="shared" si="51"/>
        <v>1450195859</v>
      </c>
      <c r="AR27" s="52">
        <f t="shared" si="51"/>
        <v>1524884038</v>
      </c>
      <c r="AS27" s="52">
        <f t="shared" si="51"/>
        <v>1479328240</v>
      </c>
      <c r="AT27" s="52">
        <f t="shared" si="51"/>
        <v>1471263289</v>
      </c>
      <c r="AU27" s="52">
        <f t="shared" si="51"/>
        <v>1480849858</v>
      </c>
      <c r="AV27" s="52">
        <f t="shared" si="51"/>
        <v>0</v>
      </c>
    </row>
    <row r="28" spans="1:48" s="2" customFormat="1" x14ac:dyDescent="0.2">
      <c r="A28" s="54" t="s">
        <v>31</v>
      </c>
      <c r="B28" s="57">
        <v>62303265</v>
      </c>
      <c r="C28" s="57">
        <v>39788372</v>
      </c>
      <c r="D28" s="57">
        <v>44991578</v>
      </c>
      <c r="E28" s="57">
        <v>58785550</v>
      </c>
      <c r="F28" s="57">
        <v>110119597</v>
      </c>
      <c r="G28" s="57">
        <v>95104274</v>
      </c>
      <c r="H28" s="57">
        <v>90098589</v>
      </c>
      <c r="I28" s="57">
        <v>199652870</v>
      </c>
      <c r="J28" s="57">
        <v>298989776</v>
      </c>
      <c r="K28" s="57">
        <v>431724974</v>
      </c>
      <c r="L28" s="57">
        <v>518598768</v>
      </c>
      <c r="M28" s="57">
        <v>685028886</v>
      </c>
      <c r="N28" s="57">
        <v>716400817</v>
      </c>
      <c r="O28" s="57">
        <v>658946691</v>
      </c>
      <c r="P28" s="57">
        <v>1061714733</v>
      </c>
      <c r="Q28" s="57">
        <v>1240055113</v>
      </c>
      <c r="R28" s="57">
        <v>1472768021</v>
      </c>
      <c r="S28" s="57">
        <v>1650192386</v>
      </c>
      <c r="T28" s="57">
        <v>1978934069</v>
      </c>
      <c r="U28" s="57">
        <v>2336650051</v>
      </c>
      <c r="V28" s="57">
        <v>2686913801</v>
      </c>
      <c r="W28" s="57">
        <v>3141882685</v>
      </c>
      <c r="X28" s="57">
        <v>3244305292</v>
      </c>
      <c r="Y28" s="57">
        <v>3743161523</v>
      </c>
      <c r="Z28" s="57">
        <v>4190097465</v>
      </c>
      <c r="AA28" s="57">
        <v>4322432320</v>
      </c>
      <c r="AB28" s="57">
        <v>4817258503</v>
      </c>
      <c r="AC28" s="57">
        <v>5637085525</v>
      </c>
      <c r="AD28" s="57">
        <v>6335898686</v>
      </c>
      <c r="AE28" s="57">
        <v>7215932693</v>
      </c>
      <c r="AF28" s="57">
        <v>7798716231</v>
      </c>
      <c r="AG28" s="57">
        <v>8182426142</v>
      </c>
      <c r="AH28" s="57">
        <v>8047958856</v>
      </c>
      <c r="AI28" s="57">
        <v>7630946993</v>
      </c>
      <c r="AJ28" s="57">
        <v>7299912168</v>
      </c>
      <c r="AK28" s="57">
        <v>6603808994</v>
      </c>
      <c r="AL28" s="57">
        <v>6157067990</v>
      </c>
      <c r="AM28" s="57">
        <v>5417415320</v>
      </c>
      <c r="AN28" s="57">
        <v>5230112931</v>
      </c>
      <c r="AO28" s="57">
        <v>4733982536</v>
      </c>
      <c r="AP28" s="57">
        <v>4090210637</v>
      </c>
      <c r="AQ28" s="57">
        <v>3829161759</v>
      </c>
      <c r="AR28" s="57">
        <v>3473694406</v>
      </c>
      <c r="AS28" s="57">
        <v>3140821759</v>
      </c>
      <c r="AT28" s="57">
        <v>2846516510</v>
      </c>
      <c r="AU28" s="57">
        <v>2614890840</v>
      </c>
      <c r="AV28" s="57"/>
    </row>
    <row r="29" spans="1:48" x14ac:dyDescent="0.2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</row>
    <row r="30" spans="1:48" x14ac:dyDescent="0.2">
      <c r="A30" s="51" t="s">
        <v>23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</row>
    <row r="31" spans="1:48" s="2" customFormat="1" x14ac:dyDescent="0.2">
      <c r="A31" s="54" t="s">
        <v>12</v>
      </c>
      <c r="B31" s="52">
        <f t="shared" ref="B31:Y31" si="52">B15</f>
        <v>7255976</v>
      </c>
      <c r="C31" s="52">
        <f t="shared" si="52"/>
        <v>6574610</v>
      </c>
      <c r="D31" s="52">
        <f t="shared" si="52"/>
        <v>3006901</v>
      </c>
      <c r="E31" s="52">
        <f t="shared" si="52"/>
        <v>6306032</v>
      </c>
      <c r="F31" s="52">
        <f t="shared" si="52"/>
        <v>8719850</v>
      </c>
      <c r="G31" s="52">
        <f t="shared" si="52"/>
        <v>11171727</v>
      </c>
      <c r="H31" s="52">
        <f t="shared" si="52"/>
        <v>10589557</v>
      </c>
      <c r="I31" s="52">
        <f t="shared" si="52"/>
        <v>193085691</v>
      </c>
      <c r="J31" s="52">
        <f t="shared" si="52"/>
        <v>30780421</v>
      </c>
      <c r="K31" s="52">
        <f t="shared" si="52"/>
        <v>56639919</v>
      </c>
      <c r="L31" s="52">
        <f t="shared" si="52"/>
        <v>71164229</v>
      </c>
      <c r="M31" s="52">
        <f t="shared" si="52"/>
        <v>82187558</v>
      </c>
      <c r="N31" s="52">
        <f t="shared" si="52"/>
        <v>95752432</v>
      </c>
      <c r="O31" s="52">
        <f t="shared" si="52"/>
        <v>88871087</v>
      </c>
      <c r="P31" s="52">
        <f t="shared" si="52"/>
        <v>97514819</v>
      </c>
      <c r="Q31" s="52">
        <f t="shared" si="52"/>
        <v>123132847</v>
      </c>
      <c r="R31" s="52">
        <f t="shared" si="52"/>
        <v>146157789</v>
      </c>
      <c r="S31" s="52">
        <f t="shared" si="52"/>
        <v>182082762</v>
      </c>
      <c r="T31" s="52">
        <f t="shared" si="52"/>
        <v>297378698</v>
      </c>
      <c r="U31" s="52">
        <f t="shared" si="52"/>
        <v>262035415</v>
      </c>
      <c r="V31" s="52">
        <f t="shared" si="52"/>
        <v>375216794</v>
      </c>
      <c r="W31" s="52">
        <f t="shared" si="52"/>
        <v>392188233</v>
      </c>
      <c r="X31" s="52">
        <f t="shared" si="52"/>
        <v>569733119</v>
      </c>
      <c r="Y31" s="52">
        <f t="shared" si="52"/>
        <v>486907275</v>
      </c>
      <c r="Z31" s="52">
        <f t="shared" ref="Z31:AA31" si="53">Z15</f>
        <v>456579516</v>
      </c>
      <c r="AA31" s="52">
        <f t="shared" si="53"/>
        <v>486649004</v>
      </c>
      <c r="AB31" s="52">
        <f t="shared" ref="AB31:AC31" si="54">AB15</f>
        <v>474055567</v>
      </c>
      <c r="AC31" s="52">
        <f t="shared" si="54"/>
        <v>522228623</v>
      </c>
      <c r="AD31" s="52">
        <f t="shared" ref="AD31:AE31" si="55">AD15</f>
        <v>590369152</v>
      </c>
      <c r="AE31" s="52">
        <f t="shared" si="55"/>
        <v>670055889</v>
      </c>
      <c r="AF31" s="52">
        <f t="shared" ref="AF31" si="56">AF15</f>
        <v>787813714</v>
      </c>
      <c r="AG31" s="52">
        <f t="shared" ref="AG31" si="57">AG15</f>
        <v>755009734</v>
      </c>
      <c r="AH31" s="52">
        <f t="shared" ref="AH31:AI31" si="58">AH15</f>
        <v>777545180</v>
      </c>
      <c r="AI31" s="52">
        <f t="shared" si="58"/>
        <v>738124837</v>
      </c>
      <c r="AJ31" s="52">
        <f t="shared" ref="AJ31:AK31" si="59">AJ15</f>
        <v>698803718</v>
      </c>
      <c r="AK31" s="52">
        <f t="shared" si="59"/>
        <v>630322470</v>
      </c>
      <c r="AL31" s="52">
        <f t="shared" ref="AL31:AM31" si="60">AL15</f>
        <v>538293758</v>
      </c>
      <c r="AM31" s="52">
        <f t="shared" si="60"/>
        <v>481797500</v>
      </c>
      <c r="AN31" s="52">
        <f t="shared" ref="AN31:AO31" si="61">AN15</f>
        <v>440582048</v>
      </c>
      <c r="AO31" s="52">
        <f t="shared" si="61"/>
        <v>399485427</v>
      </c>
      <c r="AP31" s="52">
        <f t="shared" ref="AP31:AQ31" si="62">AP15</f>
        <v>340271786</v>
      </c>
      <c r="AQ31" s="52">
        <f t="shared" si="62"/>
        <v>316029895</v>
      </c>
      <c r="AR31" s="52">
        <f t="shared" ref="AR31:AS31" si="63">AR15</f>
        <v>267763259</v>
      </c>
      <c r="AS31" s="52">
        <f t="shared" si="63"/>
        <v>233618910</v>
      </c>
      <c r="AT31" s="52">
        <f t="shared" ref="AT31:AU31" si="64">AT15</f>
        <v>203047876</v>
      </c>
      <c r="AU31" s="52">
        <f t="shared" si="64"/>
        <v>177008417</v>
      </c>
      <c r="AV31" s="52">
        <f t="shared" ref="AV31" si="65">AV15</f>
        <v>0</v>
      </c>
    </row>
    <row r="32" spans="1:48" s="2" customFormat="1" x14ac:dyDescent="0.2">
      <c r="A32" s="54" t="s">
        <v>24</v>
      </c>
      <c r="B32" s="57">
        <v>6973026</v>
      </c>
      <c r="C32" s="57">
        <v>6574610</v>
      </c>
      <c r="D32" s="57">
        <v>2908453</v>
      </c>
      <c r="E32" s="57">
        <v>6196893</v>
      </c>
      <c r="F32" s="57">
        <v>6027032</v>
      </c>
      <c r="G32" s="57">
        <v>9035198</v>
      </c>
      <c r="H32" s="57">
        <v>9655954</v>
      </c>
      <c r="I32" s="57">
        <v>17017955</v>
      </c>
      <c r="J32" s="57">
        <v>29288702</v>
      </c>
      <c r="K32" s="57">
        <v>54521940</v>
      </c>
      <c r="L32" s="57">
        <v>65023931</v>
      </c>
      <c r="M32" s="57">
        <v>76982341</v>
      </c>
      <c r="N32" s="57">
        <v>92437942</v>
      </c>
      <c r="O32" s="57">
        <v>82940653</v>
      </c>
      <c r="P32" s="57">
        <v>95209917</v>
      </c>
      <c r="Q32" s="57">
        <v>121576348</v>
      </c>
      <c r="R32" s="57">
        <v>140719781</v>
      </c>
      <c r="S32" s="57">
        <v>176447741</v>
      </c>
      <c r="T32" s="57">
        <v>189101029</v>
      </c>
      <c r="U32" s="57">
        <v>228477533</v>
      </c>
      <c r="V32" s="57">
        <v>268377944</v>
      </c>
      <c r="W32" s="57">
        <v>306678259</v>
      </c>
      <c r="X32" s="57">
        <v>342282479</v>
      </c>
      <c r="Y32" s="57">
        <v>350227554</v>
      </c>
      <c r="Z32" s="57">
        <v>411083942</v>
      </c>
      <c r="AA32" s="57">
        <v>434605769</v>
      </c>
      <c r="AB32" s="57">
        <v>446582540</v>
      </c>
      <c r="AC32" s="57">
        <v>499996248</v>
      </c>
      <c r="AD32" s="57">
        <v>563778886</v>
      </c>
      <c r="AE32" s="57">
        <v>626451254</v>
      </c>
      <c r="AF32" s="57">
        <v>751333628</v>
      </c>
      <c r="AG32" s="57">
        <v>723846713</v>
      </c>
      <c r="AH32" s="57">
        <v>747780532</v>
      </c>
      <c r="AI32" s="57">
        <v>710825077</v>
      </c>
      <c r="AJ32" s="57">
        <v>667636680</v>
      </c>
      <c r="AK32" s="57">
        <v>606147853</v>
      </c>
      <c r="AL32" s="57">
        <v>503988838</v>
      </c>
      <c r="AM32" s="57">
        <v>436314925</v>
      </c>
      <c r="AN32" s="57">
        <v>394349856</v>
      </c>
      <c r="AO32" s="57">
        <v>381804177</v>
      </c>
      <c r="AP32" s="57">
        <v>323229144</v>
      </c>
      <c r="AQ32" s="57">
        <v>294979938</v>
      </c>
      <c r="AR32" s="57">
        <v>256570390</v>
      </c>
      <c r="AS32" s="57">
        <v>223199981</v>
      </c>
      <c r="AT32" s="57">
        <v>191808330</v>
      </c>
      <c r="AU32" s="57">
        <v>165950210</v>
      </c>
      <c r="AV32" s="57"/>
    </row>
    <row r="33" spans="1:48" s="2" customFormat="1" x14ac:dyDescent="0.2">
      <c r="A33" s="54" t="s">
        <v>26</v>
      </c>
      <c r="B33" s="57">
        <v>3978921</v>
      </c>
      <c r="C33" s="57">
        <v>3389045</v>
      </c>
      <c r="D33" s="57">
        <v>2617242</v>
      </c>
      <c r="E33" s="57">
        <v>4270686</v>
      </c>
      <c r="F33" s="57">
        <v>5339220</v>
      </c>
      <c r="G33" s="57">
        <v>6559045</v>
      </c>
      <c r="H33" s="57">
        <v>6749123</v>
      </c>
      <c r="I33" s="57">
        <v>10268879</v>
      </c>
      <c r="J33" s="57">
        <v>12681458</v>
      </c>
      <c r="K33" s="57">
        <v>25446090</v>
      </c>
      <c r="L33" s="57">
        <v>32408303</v>
      </c>
      <c r="M33" s="57">
        <v>34312335</v>
      </c>
      <c r="N33" s="57">
        <v>37195869</v>
      </c>
      <c r="O33" s="57">
        <v>30223871</v>
      </c>
      <c r="P33" s="57">
        <v>29395582</v>
      </c>
      <c r="Q33" s="57">
        <v>36093309</v>
      </c>
      <c r="R33" s="57">
        <v>51436146</v>
      </c>
      <c r="S33" s="57">
        <v>93135460</v>
      </c>
      <c r="T33" s="57">
        <v>109637810</v>
      </c>
      <c r="U33" s="57">
        <v>96635528</v>
      </c>
      <c r="V33" s="57">
        <v>89463412</v>
      </c>
      <c r="W33" s="57">
        <v>91933900</v>
      </c>
      <c r="X33" s="57">
        <v>83124248</v>
      </c>
      <c r="Y33" s="57">
        <v>70005822</v>
      </c>
      <c r="Z33" s="57">
        <v>74174390</v>
      </c>
      <c r="AA33" s="57">
        <v>77743617</v>
      </c>
      <c r="AB33" s="57">
        <v>75126509</v>
      </c>
      <c r="AC33" s="57">
        <v>88288944</v>
      </c>
      <c r="AD33" s="57">
        <v>97564296</v>
      </c>
      <c r="AE33" s="57">
        <v>112523445</v>
      </c>
      <c r="AF33" s="57">
        <v>128027240</v>
      </c>
      <c r="AG33" s="57">
        <v>135180328</v>
      </c>
      <c r="AH33" s="57">
        <v>140282369</v>
      </c>
      <c r="AI33" s="57">
        <v>137933443</v>
      </c>
      <c r="AJ33" s="57">
        <v>123625585</v>
      </c>
      <c r="AK33" s="57">
        <v>109663504</v>
      </c>
      <c r="AL33" s="57">
        <v>98044982</v>
      </c>
      <c r="AM33" s="57">
        <v>89810630</v>
      </c>
      <c r="AN33" s="57">
        <v>78333259</v>
      </c>
      <c r="AO33" s="57">
        <v>71382088</v>
      </c>
      <c r="AP33" s="57">
        <v>61014485</v>
      </c>
      <c r="AQ33" s="57">
        <v>54180240</v>
      </c>
      <c r="AR33" s="57">
        <v>43736580</v>
      </c>
      <c r="AS33" s="57">
        <v>33461548</v>
      </c>
      <c r="AT33" s="57">
        <v>26754292</v>
      </c>
      <c r="AU33" s="57">
        <v>21650026</v>
      </c>
      <c r="AV33" s="57"/>
    </row>
    <row r="34" spans="1:48" s="2" customFormat="1" x14ac:dyDescent="0.2">
      <c r="A34" s="54" t="s">
        <v>13</v>
      </c>
      <c r="B34" s="52">
        <f t="shared" ref="B34:Y34" si="66">B16</f>
        <v>2464005</v>
      </c>
      <c r="C34" s="52">
        <f t="shared" si="66"/>
        <v>0</v>
      </c>
      <c r="D34" s="52">
        <f t="shared" si="66"/>
        <v>3599700</v>
      </c>
      <c r="E34" s="52">
        <f t="shared" si="66"/>
        <v>1960138</v>
      </c>
      <c r="F34" s="52">
        <f t="shared" si="66"/>
        <v>2362378</v>
      </c>
      <c r="G34" s="52">
        <f t="shared" si="66"/>
        <v>2768113</v>
      </c>
      <c r="H34" s="52">
        <f t="shared" si="66"/>
        <v>3084096</v>
      </c>
      <c r="I34" s="52">
        <f t="shared" si="66"/>
        <v>4983794</v>
      </c>
      <c r="J34" s="52">
        <f t="shared" si="66"/>
        <v>5978636</v>
      </c>
      <c r="K34" s="52">
        <f t="shared" si="66"/>
        <v>13416358</v>
      </c>
      <c r="L34" s="52">
        <f t="shared" si="66"/>
        <v>18460711</v>
      </c>
      <c r="M34" s="52">
        <f t="shared" si="66"/>
        <v>20804501</v>
      </c>
      <c r="N34" s="52">
        <f t="shared" si="66"/>
        <v>25382421</v>
      </c>
      <c r="O34" s="52">
        <f t="shared" si="66"/>
        <v>25360098</v>
      </c>
      <c r="P34" s="52">
        <f t="shared" si="66"/>
        <v>30743961</v>
      </c>
      <c r="Q34" s="52">
        <f t="shared" si="66"/>
        <v>34674792</v>
      </c>
      <c r="R34" s="52">
        <f t="shared" si="66"/>
        <v>37655007</v>
      </c>
      <c r="S34" s="52">
        <f t="shared" si="66"/>
        <v>48901308</v>
      </c>
      <c r="T34" s="52">
        <f t="shared" si="66"/>
        <v>48908220</v>
      </c>
      <c r="U34" s="52">
        <f t="shared" si="66"/>
        <v>59840557</v>
      </c>
      <c r="V34" s="52">
        <f t="shared" si="66"/>
        <v>69855264</v>
      </c>
      <c r="W34" s="52">
        <f t="shared" si="66"/>
        <v>87999130</v>
      </c>
      <c r="X34" s="52">
        <f t="shared" si="66"/>
        <v>103710403</v>
      </c>
      <c r="Y34" s="52">
        <f t="shared" si="66"/>
        <v>115880924</v>
      </c>
      <c r="Z34" s="52">
        <f t="shared" ref="Z34:AA34" si="67">Z16</f>
        <v>125507729</v>
      </c>
      <c r="AA34" s="52">
        <f t="shared" si="67"/>
        <v>144638627</v>
      </c>
      <c r="AB34" s="52">
        <f t="shared" ref="AB34:AC34" si="68">AB16</f>
        <v>152360708</v>
      </c>
      <c r="AC34" s="52">
        <f t="shared" si="68"/>
        <v>179780895</v>
      </c>
      <c r="AD34" s="52">
        <f t="shared" ref="AD34:AE34" si="69">AD16</f>
        <v>231178798</v>
      </c>
      <c r="AE34" s="52">
        <f t="shared" si="69"/>
        <v>235055072</v>
      </c>
      <c r="AF34" s="52">
        <f t="shared" ref="AF34" si="70">AF16</f>
        <v>278583513</v>
      </c>
      <c r="AG34" s="52">
        <f t="shared" ref="AG34" si="71">AG16</f>
        <v>275376620</v>
      </c>
      <c r="AH34" s="52">
        <f t="shared" ref="AH34:AI34" si="72">AH16</f>
        <v>283684675</v>
      </c>
      <c r="AI34" s="52">
        <f t="shared" si="72"/>
        <v>271788416</v>
      </c>
      <c r="AJ34" s="52">
        <f t="shared" ref="AJ34:AK34" si="73">AJ16</f>
        <v>260885508</v>
      </c>
      <c r="AK34" s="52">
        <f t="shared" si="73"/>
        <v>226942603</v>
      </c>
      <c r="AL34" s="52">
        <f t="shared" ref="AL34:AM34" si="74">AL16</f>
        <v>230083276</v>
      </c>
      <c r="AM34" s="52">
        <f t="shared" si="74"/>
        <v>217032294</v>
      </c>
      <c r="AN34" s="52">
        <f t="shared" ref="AN34:AO34" si="75">AN16</f>
        <v>232015326</v>
      </c>
      <c r="AO34" s="52">
        <f t="shared" si="75"/>
        <v>189331486</v>
      </c>
      <c r="AP34" s="52">
        <f t="shared" ref="AP34:AQ34" si="76">AP16</f>
        <v>168563499</v>
      </c>
      <c r="AQ34" s="52">
        <f t="shared" si="76"/>
        <v>116167400</v>
      </c>
      <c r="AR34" s="52">
        <f t="shared" ref="AR34:AS34" si="77">AR16</f>
        <v>95719768</v>
      </c>
      <c r="AS34" s="52">
        <f t="shared" si="77"/>
        <v>99133333</v>
      </c>
      <c r="AT34" s="52">
        <f t="shared" ref="AT34:AU34" si="78">AT16</f>
        <v>86623064</v>
      </c>
      <c r="AU34" s="52">
        <f t="shared" si="78"/>
        <v>95316575</v>
      </c>
      <c r="AV34" s="52">
        <f t="shared" ref="AV34" si="79">AV16</f>
        <v>0</v>
      </c>
    </row>
    <row r="35" spans="1:48" s="2" customFormat="1" x14ac:dyDescent="0.2">
      <c r="A35" s="54" t="s">
        <v>14</v>
      </c>
      <c r="B35" s="52">
        <f t="shared" ref="B35:C37" si="80">B17</f>
        <v>740924</v>
      </c>
      <c r="C35" s="52">
        <f t="shared" si="80"/>
        <v>0</v>
      </c>
      <c r="D35" s="52">
        <f t="shared" ref="D35" si="81">D17</f>
        <v>849261</v>
      </c>
      <c r="E35" s="52">
        <f t="shared" ref="E35:F35" si="82">E17</f>
        <v>389338</v>
      </c>
      <c r="F35" s="52">
        <f t="shared" si="82"/>
        <v>278100</v>
      </c>
      <c r="G35" s="52">
        <f t="shared" ref="G35" si="83">G17</f>
        <v>406041</v>
      </c>
      <c r="H35" s="52">
        <f t="shared" ref="H35:I35" si="84">H17</f>
        <v>589011</v>
      </c>
      <c r="I35" s="52">
        <f t="shared" si="84"/>
        <v>621398</v>
      </c>
      <c r="J35" s="52">
        <f t="shared" ref="J35:K35" si="85">J17</f>
        <v>4478531</v>
      </c>
      <c r="K35" s="52">
        <f t="shared" si="85"/>
        <v>16775794</v>
      </c>
      <c r="L35" s="52">
        <f t="shared" ref="L35:M35" si="86">L17</f>
        <v>19823590</v>
      </c>
      <c r="M35" s="52">
        <f t="shared" si="86"/>
        <v>28462981</v>
      </c>
      <c r="N35" s="52">
        <f t="shared" ref="N35:O35" si="87">N17</f>
        <v>31047935</v>
      </c>
      <c r="O35" s="52">
        <f t="shared" si="87"/>
        <v>36165722</v>
      </c>
      <c r="P35" s="52">
        <f t="shared" ref="P35:Q35" si="88">P17</f>
        <v>34765904</v>
      </c>
      <c r="Q35" s="52">
        <f t="shared" si="88"/>
        <v>42183924</v>
      </c>
      <c r="R35" s="52">
        <f t="shared" ref="R35:S35" si="89">R17</f>
        <v>47615241</v>
      </c>
      <c r="S35" s="52">
        <f t="shared" si="89"/>
        <v>41492738</v>
      </c>
      <c r="T35" s="52">
        <f t="shared" ref="T35:U35" si="90">T17</f>
        <v>45718688</v>
      </c>
      <c r="U35" s="52">
        <f t="shared" si="90"/>
        <v>59091919</v>
      </c>
      <c r="V35" s="52">
        <f t="shared" ref="V35:W35" si="91">V17</f>
        <v>85486029</v>
      </c>
      <c r="W35" s="52">
        <f t="shared" si="91"/>
        <v>121648396</v>
      </c>
      <c r="X35" s="52">
        <f t="shared" ref="X35:Y35" si="92">X17</f>
        <v>139748202</v>
      </c>
      <c r="Y35" s="52">
        <f t="shared" si="92"/>
        <v>138611833</v>
      </c>
      <c r="Z35" s="52">
        <f t="shared" ref="Z35:AA35" si="93">Z17</f>
        <v>122237776</v>
      </c>
      <c r="AA35" s="52">
        <f t="shared" si="93"/>
        <v>129175250</v>
      </c>
      <c r="AB35" s="52">
        <f t="shared" ref="AB35:AC35" si="94">AB17</f>
        <v>132973278</v>
      </c>
      <c r="AC35" s="52">
        <f t="shared" si="94"/>
        <v>148708585</v>
      </c>
      <c r="AD35" s="52">
        <f t="shared" ref="AD35:AE35" si="95">AD17</f>
        <v>153363753</v>
      </c>
      <c r="AE35" s="52">
        <f t="shared" si="95"/>
        <v>167309807</v>
      </c>
      <c r="AF35" s="52">
        <f t="shared" ref="AF35" si="96">AF17</f>
        <v>229087705</v>
      </c>
      <c r="AG35" s="52">
        <f t="shared" ref="AG35" si="97">AG17</f>
        <v>247554550</v>
      </c>
      <c r="AH35" s="52">
        <f t="shared" ref="AH35:AI35" si="98">AH17</f>
        <v>235470926</v>
      </c>
      <c r="AI35" s="52">
        <f t="shared" si="98"/>
        <v>214162671</v>
      </c>
      <c r="AJ35" s="52">
        <f t="shared" ref="AJ35:AK35" si="99">AJ17</f>
        <v>251225450</v>
      </c>
      <c r="AK35" s="52">
        <f t="shared" si="99"/>
        <v>176095868</v>
      </c>
      <c r="AL35" s="52">
        <f t="shared" ref="AL35:AM35" si="100">AL17</f>
        <v>162248961</v>
      </c>
      <c r="AM35" s="52">
        <f t="shared" si="100"/>
        <v>127390084</v>
      </c>
      <c r="AN35" s="52">
        <f t="shared" ref="AN35:AO35" si="101">AN17</f>
        <v>105567619</v>
      </c>
      <c r="AO35" s="52">
        <f t="shared" si="101"/>
        <v>97384997</v>
      </c>
      <c r="AP35" s="52">
        <f t="shared" ref="AP35:AQ35" si="102">AP17</f>
        <v>99955530</v>
      </c>
      <c r="AQ35" s="52">
        <f t="shared" si="102"/>
        <v>83594872</v>
      </c>
      <c r="AR35" s="52">
        <f t="shared" ref="AR35:AS35" si="103">AR17</f>
        <v>80300443</v>
      </c>
      <c r="AS35" s="52">
        <f t="shared" si="103"/>
        <v>76444797</v>
      </c>
      <c r="AT35" s="52">
        <f t="shared" ref="AT35:AU35" si="104">AT17</f>
        <v>63771154</v>
      </c>
      <c r="AU35" s="52">
        <f t="shared" si="104"/>
        <v>55563328</v>
      </c>
      <c r="AV35" s="52">
        <f t="shared" ref="AV35" si="105">AV17</f>
        <v>0</v>
      </c>
    </row>
    <row r="36" spans="1:48" s="2" customFormat="1" x14ac:dyDescent="0.2">
      <c r="A36" s="54" t="s">
        <v>25</v>
      </c>
      <c r="B36" s="52">
        <f t="shared" si="80"/>
        <v>50565</v>
      </c>
      <c r="C36" s="52">
        <f t="shared" si="80"/>
        <v>1577008</v>
      </c>
      <c r="D36" s="52">
        <f t="shared" ref="D36" si="106">D18</f>
        <v>-806196</v>
      </c>
      <c r="E36" s="52">
        <f t="shared" ref="E36:F36" si="107">E18</f>
        <v>1767451</v>
      </c>
      <c r="F36" s="52">
        <f t="shared" si="107"/>
        <v>860115</v>
      </c>
      <c r="G36" s="52">
        <f t="shared" ref="G36" si="108">G18</f>
        <v>1030579</v>
      </c>
      <c r="H36" s="52">
        <f t="shared" ref="H36:I36" si="109">H18</f>
        <v>1332717</v>
      </c>
      <c r="I36" s="52">
        <f t="shared" si="109"/>
        <v>636589</v>
      </c>
      <c r="J36" s="52">
        <f t="shared" ref="J36:K36" si="110">J18</f>
        <v>6867812</v>
      </c>
      <c r="K36" s="52">
        <f t="shared" si="110"/>
        <v>1271400</v>
      </c>
      <c r="L36" s="52">
        <f t="shared" ref="L36:M36" si="111">L18</f>
        <v>2523975</v>
      </c>
      <c r="M36" s="52">
        <f t="shared" si="111"/>
        <v>4119152</v>
      </c>
      <c r="N36" s="52">
        <f t="shared" ref="N36:O36" si="112">N18</f>
        <v>4649625</v>
      </c>
      <c r="O36" s="52">
        <f t="shared" si="112"/>
        <v>2352233</v>
      </c>
      <c r="P36" s="52">
        <f t="shared" ref="P36:Q36" si="113">P18</f>
        <v>9610240</v>
      </c>
      <c r="Q36" s="52">
        <f t="shared" si="113"/>
        <v>15553213</v>
      </c>
      <c r="R36" s="52">
        <f t="shared" ref="R36:S36" si="114">R18</f>
        <v>12025624</v>
      </c>
      <c r="S36" s="52">
        <f t="shared" si="114"/>
        <v>7470023</v>
      </c>
      <c r="T36" s="52">
        <f t="shared" ref="T36:U36" si="115">T18</f>
        <v>6738615</v>
      </c>
      <c r="U36" s="52">
        <f t="shared" si="115"/>
        <v>33075192</v>
      </c>
      <c r="V36" s="52">
        <f t="shared" ref="V36:W36" si="116">V18</f>
        <v>59821660</v>
      </c>
      <c r="W36" s="52">
        <f t="shared" si="116"/>
        <v>36972362</v>
      </c>
      <c r="X36" s="52">
        <f t="shared" ref="X36:Y36" si="117">X18</f>
        <v>73789585</v>
      </c>
      <c r="Y36" s="52">
        <f t="shared" si="117"/>
        <v>76028591</v>
      </c>
      <c r="Z36" s="52">
        <f t="shared" ref="Z36:AA36" si="118">Z18</f>
        <v>119815804</v>
      </c>
      <c r="AA36" s="52">
        <f t="shared" si="118"/>
        <v>119775996</v>
      </c>
      <c r="AB36" s="52">
        <f t="shared" ref="AB36:AC36" si="119">AB18</f>
        <v>119477691</v>
      </c>
      <c r="AC36" s="52">
        <f t="shared" si="119"/>
        <v>107343438</v>
      </c>
      <c r="AD36" s="52">
        <f t="shared" ref="AD36:AE36" si="120">AD18</f>
        <v>109847337</v>
      </c>
      <c r="AE36" s="52">
        <f t="shared" si="120"/>
        <v>150689480</v>
      </c>
      <c r="AF36" s="52">
        <f t="shared" ref="AF36" si="121">AF18</f>
        <v>159023436</v>
      </c>
      <c r="AG36" s="52">
        <f t="shared" ref="AG36" si="122">AG18</f>
        <v>102779185</v>
      </c>
      <c r="AH36" s="52">
        <f t="shared" ref="AH36:AI36" si="123">AH18</f>
        <v>123176197</v>
      </c>
      <c r="AI36" s="52">
        <f t="shared" si="123"/>
        <v>125374077</v>
      </c>
      <c r="AJ36" s="52">
        <f t="shared" ref="AJ36:AK36" si="124">AJ18</f>
        <v>65767712</v>
      </c>
      <c r="AK36" s="52">
        <f t="shared" si="124"/>
        <v>120832336</v>
      </c>
      <c r="AL36" s="52">
        <f t="shared" ref="AL36:AM36" si="125">AL18</f>
        <v>58767807</v>
      </c>
      <c r="AM36" s="52">
        <f t="shared" si="125"/>
        <v>60815871</v>
      </c>
      <c r="AN36" s="52">
        <f t="shared" ref="AN36:AO36" si="126">AN18</f>
        <v>43685204</v>
      </c>
      <c r="AO36" s="52">
        <f t="shared" si="126"/>
        <v>59770697</v>
      </c>
      <c r="AP36" s="52">
        <f t="shared" ref="AP36:AQ36" si="127">AP18</f>
        <v>24395105</v>
      </c>
      <c r="AQ36" s="52">
        <f t="shared" si="127"/>
        <v>72875173</v>
      </c>
      <c r="AR36" s="52">
        <f t="shared" ref="AR36:AS36" si="128">AR18</f>
        <v>54100393</v>
      </c>
      <c r="AS36" s="52">
        <f t="shared" si="128"/>
        <v>31360623</v>
      </c>
      <c r="AT36" s="52">
        <f t="shared" ref="AT36:AU36" si="129">AT18</f>
        <v>37268594</v>
      </c>
      <c r="AU36" s="52">
        <f t="shared" si="129"/>
        <v>59680924</v>
      </c>
      <c r="AV36" s="52">
        <f t="shared" ref="AV36" si="130">AV18</f>
        <v>0</v>
      </c>
    </row>
    <row r="37" spans="1:48" s="2" customFormat="1" x14ac:dyDescent="0.2">
      <c r="A37" s="54" t="s">
        <v>27</v>
      </c>
      <c r="B37" s="52">
        <f t="shared" si="80"/>
        <v>72126</v>
      </c>
      <c r="C37" s="52">
        <f t="shared" si="80"/>
        <v>-1836380</v>
      </c>
      <c r="D37" s="52">
        <f t="shared" ref="D37" si="131">D19</f>
        <v>-4059302</v>
      </c>
      <c r="E37" s="52">
        <f t="shared" ref="E37:F37" si="132">E19</f>
        <v>-314130</v>
      </c>
      <c r="F37" s="52">
        <f t="shared" si="132"/>
        <v>740152</v>
      </c>
      <c r="G37" s="52">
        <f t="shared" ref="G37" si="133">G19</f>
        <v>1438528</v>
      </c>
      <c r="H37" s="52">
        <f t="shared" ref="H37:I37" si="134">H19</f>
        <v>167327</v>
      </c>
      <c r="I37" s="52">
        <f t="shared" si="134"/>
        <v>2382850</v>
      </c>
      <c r="J37" s="52">
        <f t="shared" ref="J37:K37" si="135">J19</f>
        <v>7641796</v>
      </c>
      <c r="K37" s="52">
        <f t="shared" si="135"/>
        <v>1001677</v>
      </c>
      <c r="L37" s="52">
        <f t="shared" ref="L37:M37" si="136">L19</f>
        <v>-528375</v>
      </c>
      <c r="M37" s="52">
        <f t="shared" si="136"/>
        <v>-792259</v>
      </c>
      <c r="N37" s="52">
        <f t="shared" ref="N37:O37" si="137">N19</f>
        <v>2126207</v>
      </c>
      <c r="O37" s="52">
        <f t="shared" si="137"/>
        <v>-2878604</v>
      </c>
      <c r="P37" s="52">
        <f t="shared" ref="P37:Q37" si="138">P19</f>
        <v>2609372</v>
      </c>
      <c r="Q37" s="52">
        <f t="shared" si="138"/>
        <v>10180822</v>
      </c>
      <c r="R37" s="52">
        <f t="shared" ref="R37:S37" si="139">R19</f>
        <v>9451395</v>
      </c>
      <c r="S37" s="52">
        <f t="shared" si="139"/>
        <v>-1446744</v>
      </c>
      <c r="T37" s="52">
        <f t="shared" ref="T37:U37" si="140">T19</f>
        <v>5737693</v>
      </c>
      <c r="U37" s="52">
        <f t="shared" si="140"/>
        <v>35156642</v>
      </c>
      <c r="V37" s="52">
        <f t="shared" ref="V37:W37" si="141">V19</f>
        <v>60867758</v>
      </c>
      <c r="W37" s="52">
        <f t="shared" si="141"/>
        <v>33727347</v>
      </c>
      <c r="X37" s="52">
        <f t="shared" ref="X37:Y37" si="142">X19</f>
        <v>69394481</v>
      </c>
      <c r="Y37" s="52">
        <f t="shared" si="142"/>
        <v>69299278</v>
      </c>
      <c r="Z37" s="52">
        <f t="shared" ref="Z37:AA37" si="143">Z19</f>
        <v>119560429</v>
      </c>
      <c r="AA37" s="52">
        <f t="shared" si="143"/>
        <v>112528679</v>
      </c>
      <c r="AB37" s="52">
        <f t="shared" ref="AB37:AC37" si="144">AB19</f>
        <v>113595072</v>
      </c>
      <c r="AC37" s="52">
        <f t="shared" si="144"/>
        <v>105450199</v>
      </c>
      <c r="AD37" s="52">
        <f t="shared" ref="AD37:AE37" si="145">AD19</f>
        <v>108262305</v>
      </c>
      <c r="AE37" s="52">
        <f t="shared" si="145"/>
        <v>140375857</v>
      </c>
      <c r="AF37" s="52">
        <f t="shared" ref="AF37" si="146">AF19</f>
        <v>152115256</v>
      </c>
      <c r="AG37" s="52">
        <f t="shared" ref="AG37" si="147">AG19</f>
        <v>96898236</v>
      </c>
      <c r="AH37" s="52">
        <f t="shared" ref="AH37:AI37" si="148">AH19</f>
        <v>118107210</v>
      </c>
      <c r="AI37" s="52">
        <f t="shared" si="148"/>
        <v>114240307</v>
      </c>
      <c r="AJ37" s="52">
        <f t="shared" ref="AJ37:AK37" si="149">AJ19</f>
        <v>63067175</v>
      </c>
      <c r="AK37" s="52">
        <f t="shared" si="149"/>
        <v>117620495</v>
      </c>
      <c r="AL37" s="52">
        <f t="shared" ref="AL37:AM37" si="150">AL19</f>
        <v>47916539</v>
      </c>
      <c r="AM37" s="52">
        <f t="shared" si="150"/>
        <v>47564492</v>
      </c>
      <c r="AN37" s="52">
        <f t="shared" ref="AN37:AO37" si="151">AN19</f>
        <v>24665844</v>
      </c>
      <c r="AO37" s="52">
        <f t="shared" si="151"/>
        <v>41386856</v>
      </c>
      <c r="AP37" s="52">
        <f t="shared" ref="AP37:AQ37" si="152">AP19</f>
        <v>10738272</v>
      </c>
      <c r="AQ37" s="52">
        <f t="shared" si="152"/>
        <v>62087383</v>
      </c>
      <c r="AR37" s="52">
        <f t="shared" ref="AR37:AS37" si="153">AR19</f>
        <v>48006468</v>
      </c>
      <c r="AS37" s="52">
        <f t="shared" si="153"/>
        <v>24579232</v>
      </c>
      <c r="AT37" s="52">
        <f t="shared" ref="AT37:AU37" si="154">AT19</f>
        <v>25899366</v>
      </c>
      <c r="AU37" s="52">
        <f t="shared" si="154"/>
        <v>4478488</v>
      </c>
      <c r="AV37" s="52">
        <f t="shared" ref="AV37" si="155">AV19</f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D0BB5-7E81-4E56-9577-7FB47F1F0ACC}">
  <dimension ref="A4:AN38"/>
  <sheetViews>
    <sheetView workbookViewId="0">
      <selection sqref="A1:XFD1048576"/>
    </sheetView>
  </sheetViews>
  <sheetFormatPr defaultRowHeight="13" x14ac:dyDescent="0.2"/>
  <cols>
    <col min="2" max="3" width="9.453125" bestFit="1" customWidth="1"/>
    <col min="4" max="7" width="10.453125" bestFit="1" customWidth="1"/>
    <col min="8" max="25" width="11.54296875" bestFit="1" customWidth="1"/>
    <col min="26" max="28" width="13.08984375" bestFit="1" customWidth="1"/>
    <col min="29" max="40" width="11.54296875" bestFit="1" customWidth="1"/>
  </cols>
  <sheetData>
    <row r="4" spans="1:40" x14ac:dyDescent="0.2">
      <c r="B4" t="s">
        <v>359</v>
      </c>
      <c r="C4" t="s">
        <v>360</v>
      </c>
      <c r="D4" t="s">
        <v>361</v>
      </c>
      <c r="E4" t="s">
        <v>362</v>
      </c>
      <c r="F4" t="s">
        <v>363</v>
      </c>
      <c r="G4" t="s">
        <v>364</v>
      </c>
      <c r="H4" t="s">
        <v>365</v>
      </c>
      <c r="I4" t="s">
        <v>366</v>
      </c>
      <c r="J4" t="s">
        <v>367</v>
      </c>
      <c r="K4" t="s">
        <v>368</v>
      </c>
      <c r="L4" t="s">
        <v>369</v>
      </c>
      <c r="M4" t="s">
        <v>370</v>
      </c>
      <c r="N4" t="s">
        <v>371</v>
      </c>
      <c r="O4" t="s">
        <v>372</v>
      </c>
      <c r="P4" t="s">
        <v>373</v>
      </c>
      <c r="Q4" t="s">
        <v>374</v>
      </c>
      <c r="R4" t="s">
        <v>375</v>
      </c>
      <c r="S4" t="s">
        <v>376</v>
      </c>
      <c r="T4" t="s">
        <v>377</v>
      </c>
      <c r="U4" t="s">
        <v>378</v>
      </c>
      <c r="V4" t="s">
        <v>379</v>
      </c>
      <c r="W4" t="s">
        <v>380</v>
      </c>
      <c r="X4" t="s">
        <v>381</v>
      </c>
      <c r="Y4" t="s">
        <v>382</v>
      </c>
      <c r="Z4" t="s">
        <v>383</v>
      </c>
      <c r="AA4" t="s">
        <v>384</v>
      </c>
      <c r="AB4" t="s">
        <v>385</v>
      </c>
      <c r="AC4" t="s">
        <v>386</v>
      </c>
      <c r="AD4" t="s">
        <v>387</v>
      </c>
      <c r="AE4" t="s">
        <v>388</v>
      </c>
      <c r="AF4" t="s">
        <v>389</v>
      </c>
      <c r="AG4" t="s">
        <v>390</v>
      </c>
      <c r="AH4" t="s">
        <v>391</v>
      </c>
      <c r="AI4" t="s">
        <v>392</v>
      </c>
      <c r="AJ4" t="s">
        <v>393</v>
      </c>
      <c r="AK4" t="s">
        <v>394</v>
      </c>
      <c r="AL4" t="s">
        <v>395</v>
      </c>
      <c r="AM4" t="s">
        <v>396</v>
      </c>
      <c r="AN4" t="s">
        <v>397</v>
      </c>
    </row>
    <row r="5" spans="1:40" x14ac:dyDescent="0.2">
      <c r="A5" t="s">
        <v>3</v>
      </c>
      <c r="B5" s="71">
        <v>2808000</v>
      </c>
      <c r="C5" s="71">
        <v>5998500</v>
      </c>
      <c r="D5" s="71">
        <v>11698969</v>
      </c>
      <c r="E5" s="71">
        <v>18147500</v>
      </c>
      <c r="F5" s="71">
        <v>21274000</v>
      </c>
      <c r="G5" s="71">
        <v>24246331</v>
      </c>
      <c r="H5" s="71">
        <v>106193674</v>
      </c>
      <c r="I5" s="71">
        <v>117599803</v>
      </c>
      <c r="J5" s="71">
        <v>131227450</v>
      </c>
      <c r="K5" s="71">
        <v>138978980</v>
      </c>
      <c r="L5" s="71">
        <v>160903445</v>
      </c>
      <c r="M5" s="71">
        <v>181076991</v>
      </c>
      <c r="N5" s="71">
        <v>222661591</v>
      </c>
      <c r="O5" s="71">
        <v>256665890</v>
      </c>
      <c r="P5" s="71">
        <v>281799053</v>
      </c>
      <c r="Q5" s="71">
        <v>325628242</v>
      </c>
      <c r="R5" s="71">
        <v>359110500</v>
      </c>
      <c r="S5" s="71">
        <v>400766500</v>
      </c>
      <c r="T5" s="71">
        <v>456753500</v>
      </c>
      <c r="U5" s="71">
        <v>526283000</v>
      </c>
      <c r="V5" s="71">
        <v>610693000</v>
      </c>
      <c r="W5" s="71">
        <v>767294500</v>
      </c>
      <c r="X5" s="71">
        <v>898358000</v>
      </c>
      <c r="Y5" s="71">
        <v>998373500</v>
      </c>
      <c r="Z5" s="71">
        <v>1014793500</v>
      </c>
      <c r="AA5" s="71">
        <v>1063673000</v>
      </c>
      <c r="AB5" s="71">
        <v>1073210000</v>
      </c>
      <c r="AC5" s="71">
        <v>944397500</v>
      </c>
      <c r="AD5" s="71">
        <v>910822500</v>
      </c>
      <c r="AE5" s="71">
        <v>882198500</v>
      </c>
      <c r="AF5" s="71">
        <v>857604500</v>
      </c>
      <c r="AG5" s="71">
        <v>813657000</v>
      </c>
      <c r="AH5" s="71">
        <v>783969000</v>
      </c>
      <c r="AI5" s="71">
        <v>768776000</v>
      </c>
      <c r="AJ5" s="71">
        <v>815266000</v>
      </c>
      <c r="AK5" s="71">
        <v>757387000</v>
      </c>
      <c r="AL5" s="71">
        <v>730070000</v>
      </c>
      <c r="AM5" s="71">
        <v>700307500</v>
      </c>
      <c r="AN5" s="71">
        <v>676823000</v>
      </c>
    </row>
    <row r="6" spans="1:40" x14ac:dyDescent="0.2">
      <c r="A6" t="s">
        <v>4</v>
      </c>
      <c r="B6" s="71">
        <v>7720944</v>
      </c>
      <c r="C6" s="71">
        <v>4912474</v>
      </c>
      <c r="D6" s="71">
        <v>6701831</v>
      </c>
      <c r="E6" s="71">
        <v>5661889</v>
      </c>
      <c r="F6" s="71">
        <v>6716639</v>
      </c>
      <c r="G6" s="71">
        <v>6275288</v>
      </c>
      <c r="H6" s="71">
        <v>8057146</v>
      </c>
      <c r="I6" s="71">
        <v>14486841</v>
      </c>
      <c r="J6" s="71">
        <v>15264177</v>
      </c>
      <c r="K6" s="71">
        <v>18943976</v>
      </c>
      <c r="L6" s="71">
        <v>17100574</v>
      </c>
      <c r="M6" s="71">
        <v>40039560</v>
      </c>
      <c r="N6" s="71">
        <v>58683367</v>
      </c>
      <c r="O6" s="71">
        <v>68707809</v>
      </c>
      <c r="P6" s="71">
        <v>107187895</v>
      </c>
      <c r="Q6" s="71">
        <v>132176267</v>
      </c>
      <c r="R6" s="71">
        <v>181046564</v>
      </c>
      <c r="S6" s="71">
        <v>223636189</v>
      </c>
      <c r="T6" s="71">
        <v>262129230</v>
      </c>
      <c r="U6" s="71">
        <v>293222673</v>
      </c>
      <c r="V6" s="71">
        <v>321397928</v>
      </c>
      <c r="W6" s="71">
        <v>379443377</v>
      </c>
      <c r="X6" s="71">
        <v>441066319</v>
      </c>
      <c r="Y6" s="71">
        <v>458929196</v>
      </c>
      <c r="Z6" s="71">
        <v>485045125</v>
      </c>
      <c r="AA6" s="71">
        <v>532630554</v>
      </c>
      <c r="AB6" s="71">
        <v>536411203</v>
      </c>
      <c r="AC6" s="71">
        <v>596461234</v>
      </c>
      <c r="AD6" s="71">
        <v>606555044</v>
      </c>
      <c r="AE6" s="71">
        <v>362713163</v>
      </c>
      <c r="AF6" s="71">
        <v>599959685</v>
      </c>
      <c r="AG6" s="71">
        <v>623020770</v>
      </c>
      <c r="AH6" s="71">
        <v>634730392</v>
      </c>
      <c r="AI6" s="71">
        <v>681419859</v>
      </c>
      <c r="AJ6" s="71">
        <v>709618038</v>
      </c>
      <c r="AK6" s="71">
        <v>721941240</v>
      </c>
      <c r="AL6" s="71">
        <v>741193289</v>
      </c>
      <c r="AM6" s="71">
        <v>780542358</v>
      </c>
      <c r="AN6" s="71">
        <v>794524901</v>
      </c>
    </row>
    <row r="29" spans="25:30" x14ac:dyDescent="0.2">
      <c r="Z29">
        <v>2014</v>
      </c>
      <c r="AA29">
        <v>2015</v>
      </c>
      <c r="AB29">
        <v>2016</v>
      </c>
      <c r="AC29">
        <v>2017</v>
      </c>
      <c r="AD29">
        <v>2018</v>
      </c>
    </row>
    <row r="30" spans="25:30" x14ac:dyDescent="0.2">
      <c r="Y30" t="s">
        <v>406</v>
      </c>
      <c r="Z30">
        <v>995</v>
      </c>
      <c r="AA30">
        <v>1042</v>
      </c>
      <c r="AB30">
        <v>1019</v>
      </c>
      <c r="AC30">
        <v>1037</v>
      </c>
      <c r="AD30">
        <v>911</v>
      </c>
    </row>
    <row r="31" spans="25:30" x14ac:dyDescent="0.2">
      <c r="Y31" t="s">
        <v>407</v>
      </c>
      <c r="Z31">
        <v>958</v>
      </c>
      <c r="AA31">
        <v>893</v>
      </c>
      <c r="AB31">
        <v>740</v>
      </c>
      <c r="AC31">
        <v>666</v>
      </c>
      <c r="AD31">
        <v>627</v>
      </c>
    </row>
    <row r="32" spans="25:30" x14ac:dyDescent="0.2">
      <c r="Y32" t="s">
        <v>408</v>
      </c>
      <c r="Z32">
        <v>202</v>
      </c>
      <c r="AA32">
        <v>224</v>
      </c>
      <c r="AB32">
        <v>224</v>
      </c>
      <c r="AC32">
        <v>200</v>
      </c>
      <c r="AD32">
        <v>239</v>
      </c>
    </row>
    <row r="33" spans="25:31" x14ac:dyDescent="0.2">
      <c r="Y33" t="s">
        <v>409</v>
      </c>
      <c r="Z33">
        <v>167</v>
      </c>
      <c r="AA33">
        <v>163</v>
      </c>
      <c r="AB33">
        <v>127</v>
      </c>
      <c r="AC33">
        <v>111</v>
      </c>
      <c r="AD33">
        <v>137</v>
      </c>
    </row>
    <row r="34" spans="25:31" x14ac:dyDescent="0.2">
      <c r="Y34" t="s">
        <v>410</v>
      </c>
      <c r="Z34">
        <v>479</v>
      </c>
      <c r="AA34">
        <v>420</v>
      </c>
      <c r="AB34">
        <v>320</v>
      </c>
      <c r="AC34">
        <v>304</v>
      </c>
      <c r="AD34">
        <v>283</v>
      </c>
    </row>
    <row r="35" spans="25:31" x14ac:dyDescent="0.2">
      <c r="Z35" s="85">
        <f>(Z33+Z34)/(Z30+Z31+Z32)</f>
        <v>0.29976798143851507</v>
      </c>
      <c r="AA35" s="85">
        <f t="shared" ref="AA35:AD35" si="0">(AA33+AA34)/(AA30+AA31+AA32)</f>
        <v>0.27003242241778602</v>
      </c>
      <c r="AB35" s="85">
        <f t="shared" si="0"/>
        <v>0.22541603630862331</v>
      </c>
      <c r="AC35" s="85">
        <f t="shared" si="0"/>
        <v>0.21807672096689437</v>
      </c>
      <c r="AD35" s="85">
        <f t="shared" si="0"/>
        <v>0.23635340461451884</v>
      </c>
    </row>
    <row r="36" spans="25:31" x14ac:dyDescent="0.2">
      <c r="Y36" t="s">
        <v>411</v>
      </c>
      <c r="Z36">
        <f>SUM(Z30:Z32)</f>
        <v>2155</v>
      </c>
      <c r="AA36">
        <f t="shared" ref="AA36:AD36" si="1">SUM(AA30:AA32)</f>
        <v>2159</v>
      </c>
      <c r="AB36">
        <f t="shared" si="1"/>
        <v>1983</v>
      </c>
      <c r="AC36">
        <f t="shared" si="1"/>
        <v>1903</v>
      </c>
      <c r="AD36">
        <f t="shared" si="1"/>
        <v>1777</v>
      </c>
      <c r="AE36">
        <f>SUM(Z36:AD36)</f>
        <v>9977</v>
      </c>
    </row>
    <row r="37" spans="25:31" x14ac:dyDescent="0.2">
      <c r="Y37" t="s">
        <v>412</v>
      </c>
      <c r="Z37">
        <f>Z33+Z34</f>
        <v>646</v>
      </c>
      <c r="AA37">
        <f t="shared" ref="AA37:AD37" si="2">AA33+AA34</f>
        <v>583</v>
      </c>
      <c r="AB37">
        <f t="shared" si="2"/>
        <v>447</v>
      </c>
      <c r="AC37">
        <f t="shared" si="2"/>
        <v>415</v>
      </c>
      <c r="AD37">
        <f t="shared" si="2"/>
        <v>420</v>
      </c>
      <c r="AE37">
        <f>SUM(Z37:AD37)</f>
        <v>2511</v>
      </c>
    </row>
    <row r="38" spans="25:31" x14ac:dyDescent="0.2">
      <c r="AE38" s="85">
        <f>AE37/AE36</f>
        <v>0.25167886138117673</v>
      </c>
    </row>
  </sheetData>
  <phoneticPr fontId="2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83EAE-39DD-4190-97CF-95ACAE0B0C94}">
  <dimension ref="A2:AH99"/>
  <sheetViews>
    <sheetView tabSelected="1" topLeftCell="A94" zoomScale="103" zoomScaleNormal="103" workbookViewId="0">
      <selection activeCell="J118" sqref="J118"/>
    </sheetView>
  </sheetViews>
  <sheetFormatPr defaultRowHeight="13" x14ac:dyDescent="0.2"/>
  <cols>
    <col min="2" max="2" width="12.36328125" customWidth="1"/>
    <col min="3" max="3" width="11.1796875" customWidth="1"/>
    <col min="4" max="4" width="10.6328125" customWidth="1"/>
    <col min="5" max="5" width="11.81640625" customWidth="1"/>
  </cols>
  <sheetData>
    <row r="2" spans="1:20" x14ac:dyDescent="0.2">
      <c r="A2" t="s">
        <v>248</v>
      </c>
      <c r="J2" t="s">
        <v>249</v>
      </c>
    </row>
    <row r="4" spans="1:20" x14ac:dyDescent="0.2">
      <c r="T4" s="65" t="s">
        <v>247</v>
      </c>
    </row>
    <row r="26" spans="1:10" x14ac:dyDescent="0.2">
      <c r="A26" t="s">
        <v>250</v>
      </c>
      <c r="J26" t="s">
        <v>251</v>
      </c>
    </row>
    <row r="52" spans="1:34" x14ac:dyDescent="0.2">
      <c r="A52" t="s">
        <v>252</v>
      </c>
      <c r="J52" t="s">
        <v>253</v>
      </c>
      <c r="R52" t="s">
        <v>254</v>
      </c>
      <c r="Z52" t="s">
        <v>255</v>
      </c>
      <c r="AH52" t="s">
        <v>285</v>
      </c>
    </row>
    <row r="76" spans="1:34" x14ac:dyDescent="0.2">
      <c r="A76" t="s">
        <v>336</v>
      </c>
      <c r="F76" s="66"/>
      <c r="H76" t="s">
        <v>337</v>
      </c>
      <c r="Q76" t="s">
        <v>338</v>
      </c>
      <c r="Z76" t="s">
        <v>339</v>
      </c>
      <c r="AH76" t="s">
        <v>340</v>
      </c>
    </row>
    <row r="77" spans="1:34" x14ac:dyDescent="0.2">
      <c r="A77" s="66"/>
      <c r="B77" s="66"/>
      <c r="C77" s="66"/>
      <c r="D77" s="66"/>
      <c r="E77" s="66"/>
      <c r="F77" s="66"/>
    </row>
    <row r="78" spans="1:34" x14ac:dyDescent="0.2">
      <c r="A78" s="66"/>
      <c r="B78" s="67"/>
      <c r="C78" s="66"/>
      <c r="D78" s="66"/>
      <c r="E78" s="67"/>
      <c r="F78" s="66"/>
    </row>
    <row r="79" spans="1:34" x14ac:dyDescent="0.2">
      <c r="A79" s="66"/>
      <c r="B79" s="67"/>
      <c r="C79" s="67"/>
      <c r="D79" s="67"/>
      <c r="E79" s="67"/>
      <c r="F79" s="66"/>
    </row>
    <row r="80" spans="1:34" x14ac:dyDescent="0.2">
      <c r="A80" s="66"/>
      <c r="B80" s="67"/>
      <c r="C80" s="67"/>
      <c r="D80" s="67"/>
      <c r="E80" s="67"/>
      <c r="F80" s="66"/>
    </row>
    <row r="81" spans="1:6" x14ac:dyDescent="0.2">
      <c r="A81" s="66"/>
      <c r="B81" s="66"/>
      <c r="C81" s="66"/>
      <c r="D81" s="66"/>
      <c r="E81" s="66"/>
      <c r="F81" s="66"/>
    </row>
    <row r="99" spans="1:16" x14ac:dyDescent="0.2">
      <c r="A99" t="s">
        <v>341</v>
      </c>
      <c r="H99" t="s">
        <v>342</v>
      </c>
      <c r="P99" t="s">
        <v>343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41572-78CB-469C-9DFC-0AC489F5BC37}">
  <dimension ref="A1:Q30"/>
  <sheetViews>
    <sheetView topLeftCell="A9" workbookViewId="0">
      <selection activeCell="K17" activeCellId="1" sqref="A17:A29 K17:M29"/>
    </sheetView>
  </sheetViews>
  <sheetFormatPr defaultRowHeight="13" x14ac:dyDescent="0.2"/>
  <sheetData>
    <row r="1" spans="1:17" x14ac:dyDescent="0.2">
      <c r="A1" t="s">
        <v>256</v>
      </c>
    </row>
    <row r="2" spans="1:17" x14ac:dyDescent="0.2">
      <c r="B2" t="s">
        <v>257</v>
      </c>
      <c r="I2" t="s">
        <v>258</v>
      </c>
      <c r="P2" t="s">
        <v>259</v>
      </c>
      <c r="Q2" t="s">
        <v>260</v>
      </c>
    </row>
    <row r="3" spans="1:17" x14ac:dyDescent="0.2">
      <c r="B3" t="s">
        <v>261</v>
      </c>
      <c r="C3" t="s">
        <v>262</v>
      </c>
      <c r="D3" t="s">
        <v>263</v>
      </c>
      <c r="E3" t="s">
        <v>264</v>
      </c>
      <c r="F3" t="s">
        <v>265</v>
      </c>
      <c r="G3" t="s">
        <v>266</v>
      </c>
      <c r="H3" t="s">
        <v>267</v>
      </c>
      <c r="I3" t="s">
        <v>261</v>
      </c>
      <c r="J3" t="s">
        <v>262</v>
      </c>
      <c r="K3" t="s">
        <v>263</v>
      </c>
      <c r="L3" t="s">
        <v>264</v>
      </c>
      <c r="M3" t="s">
        <v>265</v>
      </c>
      <c r="N3" t="s">
        <v>266</v>
      </c>
      <c r="O3" t="s">
        <v>267</v>
      </c>
      <c r="P3" t="s">
        <v>268</v>
      </c>
    </row>
    <row r="4" spans="1:17" x14ac:dyDescent="0.2">
      <c r="A4" t="s">
        <v>269</v>
      </c>
      <c r="B4">
        <v>8</v>
      </c>
      <c r="C4">
        <v>5</v>
      </c>
      <c r="D4">
        <v>2</v>
      </c>
      <c r="E4">
        <v>2</v>
      </c>
      <c r="H4">
        <v>17</v>
      </c>
      <c r="I4">
        <v>2</v>
      </c>
      <c r="J4">
        <v>2</v>
      </c>
      <c r="K4">
        <v>1</v>
      </c>
      <c r="L4">
        <v>1</v>
      </c>
      <c r="O4">
        <v>6</v>
      </c>
      <c r="P4">
        <v>19</v>
      </c>
      <c r="Q4">
        <v>42</v>
      </c>
    </row>
    <row r="5" spans="1:17" x14ac:dyDescent="0.2">
      <c r="A5" t="s">
        <v>270</v>
      </c>
      <c r="B5">
        <v>8</v>
      </c>
      <c r="C5">
        <v>6</v>
      </c>
      <c r="D5">
        <v>2</v>
      </c>
      <c r="E5">
        <v>2</v>
      </c>
      <c r="H5">
        <v>18</v>
      </c>
      <c r="I5">
        <v>2</v>
      </c>
      <c r="J5">
        <v>2</v>
      </c>
      <c r="K5">
        <v>1</v>
      </c>
      <c r="L5">
        <v>1</v>
      </c>
      <c r="O5">
        <v>6</v>
      </c>
      <c r="P5">
        <v>21</v>
      </c>
      <c r="Q5">
        <v>45</v>
      </c>
    </row>
    <row r="6" spans="1:17" x14ac:dyDescent="0.2">
      <c r="A6" t="s">
        <v>271</v>
      </c>
      <c r="B6">
        <v>7</v>
      </c>
      <c r="C6">
        <v>6</v>
      </c>
      <c r="D6">
        <v>3</v>
      </c>
      <c r="E6">
        <v>2</v>
      </c>
      <c r="F6">
        <v>2</v>
      </c>
      <c r="H6">
        <v>20</v>
      </c>
      <c r="I6">
        <v>5</v>
      </c>
      <c r="J6">
        <v>2</v>
      </c>
      <c r="K6">
        <v>1</v>
      </c>
      <c r="L6">
        <v>1</v>
      </c>
      <c r="M6">
        <v>1</v>
      </c>
      <c r="O6">
        <v>10</v>
      </c>
      <c r="P6">
        <v>21</v>
      </c>
      <c r="Q6">
        <v>51</v>
      </c>
    </row>
    <row r="7" spans="1:17" x14ac:dyDescent="0.2">
      <c r="A7" t="s">
        <v>272</v>
      </c>
      <c r="B7">
        <v>7</v>
      </c>
      <c r="C7">
        <v>5</v>
      </c>
      <c r="D7">
        <v>2</v>
      </c>
      <c r="E7">
        <v>2</v>
      </c>
      <c r="F7">
        <v>4</v>
      </c>
      <c r="G7">
        <v>5</v>
      </c>
      <c r="H7">
        <v>25</v>
      </c>
      <c r="I7">
        <v>2</v>
      </c>
      <c r="J7">
        <v>2</v>
      </c>
      <c r="K7">
        <v>1</v>
      </c>
      <c r="L7">
        <v>1</v>
      </c>
      <c r="M7">
        <v>0</v>
      </c>
      <c r="N7">
        <v>1</v>
      </c>
      <c r="O7">
        <v>7</v>
      </c>
      <c r="P7">
        <v>17</v>
      </c>
      <c r="Q7">
        <v>49</v>
      </c>
    </row>
    <row r="8" spans="1:17" x14ac:dyDescent="0.2">
      <c r="A8" t="s">
        <v>273</v>
      </c>
      <c r="B8">
        <v>5</v>
      </c>
      <c r="C8">
        <v>3</v>
      </c>
      <c r="D8">
        <v>3</v>
      </c>
      <c r="E8">
        <v>2</v>
      </c>
      <c r="F8">
        <v>4</v>
      </c>
      <c r="G8">
        <v>3</v>
      </c>
      <c r="H8">
        <v>20</v>
      </c>
      <c r="I8">
        <v>0</v>
      </c>
      <c r="J8">
        <v>1</v>
      </c>
      <c r="K8">
        <v>1</v>
      </c>
      <c r="L8">
        <v>0</v>
      </c>
      <c r="M8">
        <v>0</v>
      </c>
      <c r="N8">
        <v>1</v>
      </c>
      <c r="O8">
        <v>3</v>
      </c>
      <c r="P8">
        <v>21</v>
      </c>
      <c r="Q8">
        <v>44</v>
      </c>
    </row>
    <row r="9" spans="1:17" x14ac:dyDescent="0.2">
      <c r="A9" t="s">
        <v>274</v>
      </c>
      <c r="B9">
        <v>6</v>
      </c>
      <c r="C9">
        <v>3</v>
      </c>
      <c r="D9">
        <v>2</v>
      </c>
      <c r="E9">
        <v>1</v>
      </c>
      <c r="F9">
        <v>2</v>
      </c>
      <c r="G9">
        <v>3</v>
      </c>
      <c r="H9">
        <v>17</v>
      </c>
      <c r="I9">
        <v>0</v>
      </c>
      <c r="J9">
        <v>1</v>
      </c>
      <c r="K9">
        <v>0</v>
      </c>
      <c r="L9">
        <v>0</v>
      </c>
      <c r="M9">
        <v>1</v>
      </c>
      <c r="N9">
        <v>1</v>
      </c>
      <c r="O9">
        <v>3</v>
      </c>
      <c r="P9">
        <v>19</v>
      </c>
      <c r="Q9">
        <v>39</v>
      </c>
    </row>
    <row r="10" spans="1:17" x14ac:dyDescent="0.2">
      <c r="A10" t="s">
        <v>275</v>
      </c>
      <c r="B10">
        <v>6</v>
      </c>
      <c r="C10">
        <v>3</v>
      </c>
      <c r="D10">
        <v>2</v>
      </c>
      <c r="F10">
        <v>2</v>
      </c>
      <c r="G10">
        <v>2</v>
      </c>
      <c r="H10">
        <v>15</v>
      </c>
      <c r="I10">
        <v>0</v>
      </c>
      <c r="J10">
        <v>0</v>
      </c>
      <c r="K10">
        <v>0</v>
      </c>
      <c r="M10">
        <v>0</v>
      </c>
      <c r="N10">
        <v>0</v>
      </c>
      <c r="O10">
        <v>0</v>
      </c>
      <c r="P10">
        <v>11</v>
      </c>
      <c r="Q10">
        <v>26</v>
      </c>
    </row>
    <row r="11" spans="1:17" x14ac:dyDescent="0.2">
      <c r="A11" t="s">
        <v>276</v>
      </c>
      <c r="B11">
        <v>5</v>
      </c>
      <c r="C11">
        <v>2</v>
      </c>
      <c r="D11">
        <v>2</v>
      </c>
      <c r="F11">
        <v>2</v>
      </c>
      <c r="G11">
        <v>2</v>
      </c>
      <c r="H11">
        <v>13</v>
      </c>
      <c r="I11">
        <v>0</v>
      </c>
      <c r="J11">
        <v>0</v>
      </c>
      <c r="K11">
        <v>0</v>
      </c>
      <c r="M11">
        <v>0</v>
      </c>
      <c r="N11">
        <v>0</v>
      </c>
      <c r="O11">
        <v>0</v>
      </c>
      <c r="P11">
        <v>11</v>
      </c>
      <c r="Q11">
        <v>24</v>
      </c>
    </row>
    <row r="12" spans="1:17" x14ac:dyDescent="0.2">
      <c r="A12" t="s">
        <v>277</v>
      </c>
      <c r="B12">
        <v>4</v>
      </c>
      <c r="C12">
        <v>2</v>
      </c>
      <c r="D12">
        <v>2</v>
      </c>
      <c r="F12">
        <v>1</v>
      </c>
      <c r="G12">
        <v>3</v>
      </c>
      <c r="H12">
        <v>12</v>
      </c>
      <c r="I12">
        <v>0</v>
      </c>
      <c r="J12">
        <v>0</v>
      </c>
      <c r="K12">
        <v>0</v>
      </c>
      <c r="M12">
        <v>0</v>
      </c>
      <c r="N12">
        <v>0</v>
      </c>
      <c r="O12">
        <v>0</v>
      </c>
      <c r="P12">
        <v>11</v>
      </c>
      <c r="Q12">
        <v>23</v>
      </c>
    </row>
    <row r="13" spans="1:17" x14ac:dyDescent="0.2">
      <c r="A13" t="s">
        <v>278</v>
      </c>
      <c r="B13">
        <v>4</v>
      </c>
      <c r="C13">
        <v>2</v>
      </c>
      <c r="D13">
        <v>1</v>
      </c>
      <c r="F13">
        <v>2</v>
      </c>
      <c r="G13">
        <v>3</v>
      </c>
      <c r="H13">
        <v>12</v>
      </c>
      <c r="I13">
        <v>0</v>
      </c>
      <c r="J13">
        <v>1</v>
      </c>
      <c r="K13">
        <v>0</v>
      </c>
      <c r="M13">
        <v>0</v>
      </c>
      <c r="N13">
        <v>0</v>
      </c>
      <c r="O13">
        <v>1</v>
      </c>
      <c r="P13">
        <v>10</v>
      </c>
      <c r="Q13">
        <v>23</v>
      </c>
    </row>
    <row r="14" spans="1:17" x14ac:dyDescent="0.2">
      <c r="A14" t="s">
        <v>279</v>
      </c>
      <c r="B14">
        <v>4</v>
      </c>
      <c r="C14">
        <v>2</v>
      </c>
      <c r="D14">
        <v>1</v>
      </c>
      <c r="F14">
        <v>2</v>
      </c>
      <c r="G14">
        <v>3</v>
      </c>
      <c r="H14">
        <v>12</v>
      </c>
      <c r="I14">
        <v>0</v>
      </c>
      <c r="J14">
        <v>1</v>
      </c>
      <c r="K14">
        <v>0</v>
      </c>
      <c r="M14">
        <v>0</v>
      </c>
      <c r="N14">
        <v>0</v>
      </c>
      <c r="O14">
        <v>1</v>
      </c>
      <c r="P14">
        <v>8</v>
      </c>
      <c r="Q14">
        <v>21</v>
      </c>
    </row>
    <row r="15" spans="1:17" x14ac:dyDescent="0.2">
      <c r="A15" t="s">
        <v>280</v>
      </c>
      <c r="B15">
        <v>4</v>
      </c>
      <c r="C15">
        <v>2</v>
      </c>
      <c r="D15">
        <v>1</v>
      </c>
      <c r="F15">
        <v>2</v>
      </c>
      <c r="G15">
        <v>3</v>
      </c>
      <c r="H15">
        <v>12</v>
      </c>
      <c r="I15">
        <v>0</v>
      </c>
      <c r="J15">
        <v>1</v>
      </c>
      <c r="K15">
        <v>0</v>
      </c>
      <c r="M15">
        <v>0</v>
      </c>
      <c r="N15">
        <v>0</v>
      </c>
      <c r="O15">
        <v>1</v>
      </c>
      <c r="P15">
        <v>8</v>
      </c>
      <c r="Q15">
        <v>21</v>
      </c>
    </row>
    <row r="17" spans="1:13" x14ac:dyDescent="0.2">
      <c r="B17" t="s">
        <v>261</v>
      </c>
      <c r="C17" t="s">
        <v>262</v>
      </c>
      <c r="D17" t="s">
        <v>263</v>
      </c>
      <c r="E17" t="s">
        <v>264</v>
      </c>
      <c r="F17" t="s">
        <v>265</v>
      </c>
      <c r="G17" t="s">
        <v>266</v>
      </c>
      <c r="H17" t="s">
        <v>281</v>
      </c>
      <c r="I17" t="s">
        <v>260</v>
      </c>
      <c r="K17" t="s">
        <v>282</v>
      </c>
      <c r="L17" t="s">
        <v>283</v>
      </c>
      <c r="M17" t="s">
        <v>259</v>
      </c>
    </row>
    <row r="18" spans="1:13" x14ac:dyDescent="0.2">
      <c r="A18" t="s">
        <v>269</v>
      </c>
      <c r="B18">
        <v>10</v>
      </c>
      <c r="C18">
        <v>7</v>
      </c>
      <c r="D18">
        <v>3</v>
      </c>
      <c r="E18">
        <v>3</v>
      </c>
      <c r="H18">
        <v>19</v>
      </c>
      <c r="I18">
        <v>42</v>
      </c>
      <c r="K18">
        <v>17</v>
      </c>
      <c r="L18">
        <v>6</v>
      </c>
      <c r="M18">
        <v>19</v>
      </c>
    </row>
    <row r="19" spans="1:13" x14ac:dyDescent="0.2">
      <c r="A19" t="s">
        <v>270</v>
      </c>
      <c r="B19">
        <v>10</v>
      </c>
      <c r="C19">
        <v>8</v>
      </c>
      <c r="D19">
        <v>3</v>
      </c>
      <c r="E19">
        <v>3</v>
      </c>
      <c r="H19">
        <v>21</v>
      </c>
      <c r="I19">
        <v>45</v>
      </c>
      <c r="K19">
        <v>18</v>
      </c>
      <c r="L19">
        <v>6</v>
      </c>
      <c r="M19">
        <v>21</v>
      </c>
    </row>
    <row r="20" spans="1:13" x14ac:dyDescent="0.2">
      <c r="A20" t="s">
        <v>271</v>
      </c>
      <c r="B20">
        <v>12</v>
      </c>
      <c r="C20">
        <v>8</v>
      </c>
      <c r="D20">
        <v>4</v>
      </c>
      <c r="E20">
        <v>3</v>
      </c>
      <c r="F20">
        <v>3</v>
      </c>
      <c r="H20">
        <v>21</v>
      </c>
      <c r="I20">
        <v>51</v>
      </c>
      <c r="K20">
        <v>20</v>
      </c>
      <c r="L20">
        <v>10</v>
      </c>
      <c r="M20">
        <v>21</v>
      </c>
    </row>
    <row r="21" spans="1:13" x14ac:dyDescent="0.2">
      <c r="A21" t="s">
        <v>272</v>
      </c>
      <c r="B21">
        <v>9</v>
      </c>
      <c r="C21">
        <v>7</v>
      </c>
      <c r="D21">
        <v>3</v>
      </c>
      <c r="E21">
        <v>3</v>
      </c>
      <c r="F21">
        <v>4</v>
      </c>
      <c r="G21">
        <v>6</v>
      </c>
      <c r="H21">
        <v>17</v>
      </c>
      <c r="I21">
        <v>49</v>
      </c>
      <c r="K21">
        <v>25</v>
      </c>
      <c r="L21">
        <v>7</v>
      </c>
      <c r="M21">
        <v>17</v>
      </c>
    </row>
    <row r="22" spans="1:13" x14ac:dyDescent="0.2">
      <c r="A22" t="s">
        <v>273</v>
      </c>
      <c r="B22">
        <v>5</v>
      </c>
      <c r="C22">
        <v>4</v>
      </c>
      <c r="D22">
        <v>4</v>
      </c>
      <c r="E22">
        <v>2</v>
      </c>
      <c r="F22">
        <v>4</v>
      </c>
      <c r="G22">
        <v>4</v>
      </c>
      <c r="H22">
        <v>21</v>
      </c>
      <c r="I22">
        <v>44</v>
      </c>
      <c r="K22">
        <v>20</v>
      </c>
      <c r="L22">
        <v>3</v>
      </c>
      <c r="M22">
        <v>21</v>
      </c>
    </row>
    <row r="23" spans="1:13" x14ac:dyDescent="0.2">
      <c r="A23" t="s">
        <v>274</v>
      </c>
      <c r="B23">
        <v>6</v>
      </c>
      <c r="C23">
        <v>4</v>
      </c>
      <c r="D23">
        <v>2</v>
      </c>
      <c r="E23">
        <v>1</v>
      </c>
      <c r="F23">
        <v>3</v>
      </c>
      <c r="G23">
        <v>4</v>
      </c>
      <c r="H23">
        <v>19</v>
      </c>
      <c r="I23">
        <v>39</v>
      </c>
      <c r="K23">
        <v>17</v>
      </c>
      <c r="L23">
        <v>3</v>
      </c>
      <c r="M23">
        <v>19</v>
      </c>
    </row>
    <row r="24" spans="1:13" x14ac:dyDescent="0.2">
      <c r="A24" t="s">
        <v>275</v>
      </c>
      <c r="B24">
        <v>6</v>
      </c>
      <c r="C24">
        <v>3</v>
      </c>
      <c r="D24">
        <v>2</v>
      </c>
      <c r="F24">
        <v>2</v>
      </c>
      <c r="G24">
        <v>2</v>
      </c>
      <c r="H24">
        <v>11</v>
      </c>
      <c r="I24">
        <v>26</v>
      </c>
      <c r="K24">
        <v>15</v>
      </c>
      <c r="L24">
        <v>0</v>
      </c>
      <c r="M24">
        <v>11</v>
      </c>
    </row>
    <row r="25" spans="1:13" x14ac:dyDescent="0.2">
      <c r="A25" t="s">
        <v>276</v>
      </c>
      <c r="B25">
        <v>5</v>
      </c>
      <c r="C25">
        <v>2</v>
      </c>
      <c r="D25">
        <v>2</v>
      </c>
      <c r="F25">
        <v>2</v>
      </c>
      <c r="G25">
        <v>2</v>
      </c>
      <c r="H25">
        <v>11</v>
      </c>
      <c r="I25">
        <v>24</v>
      </c>
      <c r="K25">
        <v>13</v>
      </c>
      <c r="L25">
        <v>0</v>
      </c>
      <c r="M25">
        <v>11</v>
      </c>
    </row>
    <row r="26" spans="1:13" x14ac:dyDescent="0.2">
      <c r="A26" t="s">
        <v>277</v>
      </c>
      <c r="B26">
        <v>4</v>
      </c>
      <c r="C26">
        <v>2</v>
      </c>
      <c r="D26">
        <v>2</v>
      </c>
      <c r="F26">
        <v>1</v>
      </c>
      <c r="G26">
        <v>3</v>
      </c>
      <c r="H26">
        <v>11</v>
      </c>
      <c r="I26">
        <v>23</v>
      </c>
      <c r="K26">
        <v>12</v>
      </c>
      <c r="L26">
        <v>0</v>
      </c>
      <c r="M26">
        <v>11</v>
      </c>
    </row>
    <row r="27" spans="1:13" x14ac:dyDescent="0.2">
      <c r="A27" t="s">
        <v>278</v>
      </c>
      <c r="B27">
        <v>4</v>
      </c>
      <c r="C27">
        <v>3</v>
      </c>
      <c r="D27">
        <v>1</v>
      </c>
      <c r="F27">
        <v>2</v>
      </c>
      <c r="G27">
        <v>3</v>
      </c>
      <c r="H27">
        <v>10</v>
      </c>
      <c r="I27">
        <v>23</v>
      </c>
      <c r="K27">
        <v>12</v>
      </c>
      <c r="L27">
        <v>1</v>
      </c>
      <c r="M27">
        <v>10</v>
      </c>
    </row>
    <row r="28" spans="1:13" x14ac:dyDescent="0.2">
      <c r="A28" t="s">
        <v>279</v>
      </c>
      <c r="B28">
        <v>4</v>
      </c>
      <c r="C28">
        <v>3</v>
      </c>
      <c r="D28">
        <v>1</v>
      </c>
      <c r="F28">
        <v>2</v>
      </c>
      <c r="G28">
        <v>3</v>
      </c>
      <c r="H28">
        <v>8</v>
      </c>
      <c r="I28">
        <v>21</v>
      </c>
      <c r="K28">
        <v>12</v>
      </c>
      <c r="L28">
        <v>1</v>
      </c>
      <c r="M28">
        <v>8</v>
      </c>
    </row>
    <row r="29" spans="1:13" x14ac:dyDescent="0.2">
      <c r="A29" t="s">
        <v>280</v>
      </c>
      <c r="B29">
        <v>4</v>
      </c>
      <c r="C29">
        <v>3</v>
      </c>
      <c r="D29">
        <v>1</v>
      </c>
      <c r="F29">
        <v>2</v>
      </c>
      <c r="G29">
        <v>3</v>
      </c>
      <c r="H29">
        <v>8</v>
      </c>
      <c r="I29">
        <v>21</v>
      </c>
      <c r="K29">
        <v>12</v>
      </c>
      <c r="L29">
        <v>1</v>
      </c>
      <c r="M29">
        <v>8</v>
      </c>
    </row>
    <row r="30" spans="1:13" x14ac:dyDescent="0.2">
      <c r="A30" t="s">
        <v>284</v>
      </c>
    </row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3483-B35C-4187-AFE0-D4B4839555EF}">
  <sheetPr>
    <pageSetUpPr fitToPage="1"/>
  </sheetPr>
  <dimension ref="A1:J63"/>
  <sheetViews>
    <sheetView workbookViewId="0"/>
  </sheetViews>
  <sheetFormatPr defaultRowHeight="13" x14ac:dyDescent="0.2"/>
  <cols>
    <col min="1" max="1" width="18.6328125" style="42" customWidth="1"/>
    <col min="3" max="3" width="11.1796875" customWidth="1"/>
    <col min="5" max="5" width="11.36328125" customWidth="1"/>
    <col min="7" max="7" width="11.36328125" customWidth="1"/>
    <col min="9" max="9" width="10.81640625" customWidth="1"/>
  </cols>
  <sheetData>
    <row r="1" spans="1:10" x14ac:dyDescent="0.2">
      <c r="A1" s="33" t="s">
        <v>0</v>
      </c>
      <c r="B1" s="6" t="s">
        <v>138</v>
      </c>
      <c r="C1" s="7"/>
      <c r="D1" s="7"/>
      <c r="E1" s="7"/>
      <c r="F1" s="7"/>
      <c r="G1" s="7"/>
      <c r="H1" s="7"/>
      <c r="I1" s="7"/>
      <c r="J1" s="8"/>
    </row>
    <row r="2" spans="1:10" x14ac:dyDescent="0.2">
      <c r="A2" s="33"/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x14ac:dyDescent="0.2">
      <c r="A3" s="33"/>
      <c r="B3" s="19" t="s">
        <v>63</v>
      </c>
      <c r="C3" s="19" t="s">
        <v>64</v>
      </c>
      <c r="D3" s="20" t="s">
        <v>63</v>
      </c>
      <c r="E3" s="20" t="s">
        <v>64</v>
      </c>
      <c r="F3" s="21" t="s">
        <v>63</v>
      </c>
      <c r="G3" s="21" t="s">
        <v>64</v>
      </c>
      <c r="H3" s="22"/>
      <c r="I3" s="22"/>
      <c r="J3" s="23"/>
    </row>
    <row r="4" spans="1:10" x14ac:dyDescent="0.2">
      <c r="A4" s="48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48" t="s">
        <v>72</v>
      </c>
      <c r="B5" s="24">
        <v>40</v>
      </c>
      <c r="C5" s="24">
        <v>3110000</v>
      </c>
      <c r="D5" s="24">
        <v>55</v>
      </c>
      <c r="E5" s="24">
        <v>4156800</v>
      </c>
      <c r="F5" s="24">
        <v>43</v>
      </c>
      <c r="G5" s="24">
        <v>1968040</v>
      </c>
      <c r="H5" s="24"/>
      <c r="I5" s="24">
        <v>410026</v>
      </c>
      <c r="J5" s="38"/>
    </row>
    <row r="6" spans="1:10" x14ac:dyDescent="0.2">
      <c r="A6" s="48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x14ac:dyDescent="0.2">
      <c r="A7" s="48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48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48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48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48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48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48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48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48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48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49" t="s">
        <v>73</v>
      </c>
      <c r="B17" s="25">
        <f>SUM(B5:B16)</f>
        <v>40</v>
      </c>
      <c r="C17" s="25">
        <f t="shared" ref="C17:I17" si="0">SUM(C5:C16)</f>
        <v>3110000</v>
      </c>
      <c r="D17" s="25">
        <f t="shared" si="0"/>
        <v>55</v>
      </c>
      <c r="E17" s="25">
        <f t="shared" si="0"/>
        <v>4156800</v>
      </c>
      <c r="F17" s="25">
        <f t="shared" si="0"/>
        <v>43</v>
      </c>
      <c r="G17" s="25">
        <f t="shared" si="0"/>
        <v>1968040</v>
      </c>
      <c r="H17" s="25">
        <f t="shared" si="0"/>
        <v>0</v>
      </c>
      <c r="I17" s="25">
        <f t="shared" si="0"/>
        <v>410026</v>
      </c>
      <c r="J17" s="39" t="str">
        <f>IF(SUM(J4:J16)=0,"",SUM(J4:J16)/COUNT(J4:J16))</f>
        <v/>
      </c>
    </row>
    <row r="18" spans="1:10" x14ac:dyDescent="0.2">
      <c r="A18" s="48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48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48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48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48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x14ac:dyDescent="0.2">
      <c r="A23" s="48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48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48" t="s">
        <v>49</v>
      </c>
      <c r="B25" s="24"/>
      <c r="C25" s="24"/>
      <c r="D25" s="24"/>
      <c r="E25" s="24"/>
      <c r="F25" s="24"/>
      <c r="G25" s="24"/>
      <c r="H25" s="24"/>
      <c r="I25" s="24"/>
      <c r="J25" s="38"/>
    </row>
    <row r="26" spans="1:10" x14ac:dyDescent="0.2">
      <c r="A26" s="48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48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48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48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48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49" t="s">
        <v>73</v>
      </c>
      <c r="B31" s="25">
        <f t="shared" ref="B31:I31" si="1">SUM(B18:B30)</f>
        <v>0</v>
      </c>
      <c r="C31" s="25">
        <f t="shared" si="1"/>
        <v>0</v>
      </c>
      <c r="D31" s="25">
        <f t="shared" si="1"/>
        <v>0</v>
      </c>
      <c r="E31" s="25">
        <f t="shared" si="1"/>
        <v>0</v>
      </c>
      <c r="F31" s="25">
        <f t="shared" si="1"/>
        <v>0</v>
      </c>
      <c r="G31" s="25">
        <f t="shared" si="1"/>
        <v>0</v>
      </c>
      <c r="H31" s="25">
        <f t="shared" si="1"/>
        <v>0</v>
      </c>
      <c r="I31" s="25">
        <f t="shared" si="1"/>
        <v>0</v>
      </c>
      <c r="J31" s="39" t="str">
        <f>IF(SUM(J18:J30)=0,"",SUM(J18:J30)/COUNT(J18:J30))</f>
        <v/>
      </c>
    </row>
    <row r="32" spans="1:10" x14ac:dyDescent="0.2">
      <c r="A32" s="48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48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48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48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48" t="s">
        <v>71</v>
      </c>
      <c r="B36" s="24">
        <v>13</v>
      </c>
      <c r="C36" s="24">
        <v>40731816</v>
      </c>
      <c r="D36" s="24">
        <v>21</v>
      </c>
      <c r="E36" s="24">
        <v>14082043</v>
      </c>
      <c r="F36" s="24">
        <v>16</v>
      </c>
      <c r="G36" s="24">
        <v>50703606</v>
      </c>
      <c r="H36" s="24"/>
      <c r="I36" s="24">
        <v>5883000</v>
      </c>
      <c r="J36" s="38"/>
    </row>
    <row r="37" spans="1:10" x14ac:dyDescent="0.2">
      <c r="A37" s="48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49" t="s">
        <v>73</v>
      </c>
      <c r="B38" s="25">
        <f>SUM(B32:B37)</f>
        <v>13</v>
      </c>
      <c r="C38" s="25">
        <f t="shared" ref="C38:I38" si="2">SUM(C32:C37)</f>
        <v>40731816</v>
      </c>
      <c r="D38" s="25">
        <f t="shared" si="2"/>
        <v>21</v>
      </c>
      <c r="E38" s="25">
        <f t="shared" si="2"/>
        <v>14082043</v>
      </c>
      <c r="F38" s="25">
        <f t="shared" si="2"/>
        <v>16</v>
      </c>
      <c r="G38" s="25">
        <f t="shared" si="2"/>
        <v>50703606</v>
      </c>
      <c r="H38" s="25">
        <f t="shared" si="2"/>
        <v>0</v>
      </c>
      <c r="I38" s="25">
        <f t="shared" si="2"/>
        <v>5883000</v>
      </c>
      <c r="J38" s="39" t="str">
        <f>IF(SUM(J32:J37)=0,"",SUM(J32:J37)/COUNT(J32:J37))</f>
        <v/>
      </c>
    </row>
    <row r="39" spans="1:10" x14ac:dyDescent="0.2">
      <c r="A39" s="48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48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48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48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48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48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48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48" t="s">
        <v>69</v>
      </c>
      <c r="B46" s="24">
        <v>5</v>
      </c>
      <c r="C46" s="24">
        <v>950000</v>
      </c>
      <c r="D46" s="24">
        <v>4</v>
      </c>
      <c r="E46" s="24">
        <v>746000</v>
      </c>
      <c r="F46" s="24">
        <v>4</v>
      </c>
      <c r="G46" s="24">
        <v>440000</v>
      </c>
      <c r="H46" s="24"/>
      <c r="I46" s="24">
        <v>21000</v>
      </c>
      <c r="J46" s="38"/>
    </row>
    <row r="47" spans="1:10" x14ac:dyDescent="0.2">
      <c r="A47" s="49" t="s">
        <v>73</v>
      </c>
      <c r="B47" s="25">
        <f>SUM(B39:B46)</f>
        <v>5</v>
      </c>
      <c r="C47" s="25">
        <f t="shared" ref="C47:I47" si="3">SUM(C39:C46)</f>
        <v>950000</v>
      </c>
      <c r="D47" s="25">
        <f t="shared" si="3"/>
        <v>4</v>
      </c>
      <c r="E47" s="25">
        <f t="shared" si="3"/>
        <v>746000</v>
      </c>
      <c r="F47" s="25">
        <f t="shared" si="3"/>
        <v>4</v>
      </c>
      <c r="G47" s="25">
        <f t="shared" si="3"/>
        <v>440000</v>
      </c>
      <c r="H47" s="25">
        <f t="shared" si="3"/>
        <v>0</v>
      </c>
      <c r="I47" s="25">
        <f t="shared" si="3"/>
        <v>21000</v>
      </c>
      <c r="J47" s="39" t="str">
        <f>IF(SUM(J39:J46)=0,"",SUM(J39:J46)/COUNT(J39:J46))</f>
        <v/>
      </c>
    </row>
    <row r="48" spans="1:10" x14ac:dyDescent="0.2">
      <c r="A48" s="48" t="s">
        <v>58</v>
      </c>
      <c r="B48" s="24"/>
      <c r="C48" s="24"/>
      <c r="D48" s="24"/>
      <c r="E48" s="24"/>
      <c r="F48" s="24"/>
      <c r="G48" s="24"/>
      <c r="H48" s="24"/>
      <c r="I48" s="24"/>
      <c r="J48" s="38"/>
    </row>
    <row r="49" spans="1:10" x14ac:dyDescent="0.2">
      <c r="A49" s="48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48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48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49" t="s">
        <v>73</v>
      </c>
      <c r="B52" s="25">
        <f t="shared" ref="B52:I52" si="4">SUM(B48:B49)</f>
        <v>0</v>
      </c>
      <c r="C52" s="25">
        <f t="shared" si="4"/>
        <v>0</v>
      </c>
      <c r="D52" s="25">
        <f t="shared" si="4"/>
        <v>0</v>
      </c>
      <c r="E52" s="25">
        <f t="shared" si="4"/>
        <v>0</v>
      </c>
      <c r="F52" s="25">
        <f t="shared" si="4"/>
        <v>0</v>
      </c>
      <c r="G52" s="25">
        <f t="shared" si="4"/>
        <v>0</v>
      </c>
      <c r="H52" s="25">
        <f t="shared" si="4"/>
        <v>0</v>
      </c>
      <c r="I52" s="25">
        <f t="shared" si="4"/>
        <v>0</v>
      </c>
      <c r="J52" s="39" t="str">
        <f>IF(SUM(J48:J49)=0,"",SUM(J48:J49)/COUNT(J48:J49))</f>
        <v/>
      </c>
    </row>
    <row r="53" spans="1:10" x14ac:dyDescent="0.2">
      <c r="A53" s="48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49" t="s">
        <v>73</v>
      </c>
      <c r="B54" s="25">
        <f>SUM(B53)</f>
        <v>0</v>
      </c>
      <c r="C54" s="25">
        <f t="shared" ref="C54:I54" si="5">SUM(C53)</f>
        <v>0</v>
      </c>
      <c r="D54" s="25">
        <f t="shared" si="5"/>
        <v>0</v>
      </c>
      <c r="E54" s="25">
        <f t="shared" si="5"/>
        <v>0</v>
      </c>
      <c r="F54" s="25">
        <f t="shared" si="5"/>
        <v>0</v>
      </c>
      <c r="G54" s="25">
        <f t="shared" si="5"/>
        <v>0</v>
      </c>
      <c r="H54" s="25">
        <f t="shared" si="5"/>
        <v>0</v>
      </c>
      <c r="I54" s="25">
        <f t="shared" si="5"/>
        <v>0</v>
      </c>
      <c r="J54" s="39" t="str">
        <f>IF(SUM(J53)=0,"",SUM(J53)/COUNT(J53))</f>
        <v/>
      </c>
    </row>
    <row r="55" spans="1:10" x14ac:dyDescent="0.2">
      <c r="A55" s="48" t="s">
        <v>70</v>
      </c>
      <c r="B55" s="24">
        <v>16</v>
      </c>
      <c r="C55" s="24">
        <v>17962800</v>
      </c>
      <c r="D55" s="24">
        <v>36</v>
      </c>
      <c r="E55" s="24">
        <v>19437967</v>
      </c>
      <c r="F55" s="24">
        <v>5</v>
      </c>
      <c r="G55" s="24">
        <v>3356160</v>
      </c>
      <c r="H55" s="24"/>
      <c r="I55" s="24">
        <v>659000</v>
      </c>
      <c r="J55" s="38"/>
    </row>
    <row r="56" spans="1:10" x14ac:dyDescent="0.2">
      <c r="A56" s="49" t="s">
        <v>73</v>
      </c>
      <c r="B56" s="25">
        <f>SUM(B55)</f>
        <v>16</v>
      </c>
      <c r="C56" s="25">
        <f t="shared" ref="C56:I56" si="6">SUM(C55)</f>
        <v>17962800</v>
      </c>
      <c r="D56" s="25">
        <f t="shared" si="6"/>
        <v>36</v>
      </c>
      <c r="E56" s="25">
        <f t="shared" si="6"/>
        <v>19437967</v>
      </c>
      <c r="F56" s="25">
        <f t="shared" si="6"/>
        <v>5</v>
      </c>
      <c r="G56" s="25">
        <f t="shared" si="6"/>
        <v>3356160</v>
      </c>
      <c r="H56" s="25">
        <f t="shared" si="6"/>
        <v>0</v>
      </c>
      <c r="I56" s="25">
        <f t="shared" si="6"/>
        <v>659000</v>
      </c>
      <c r="J56" s="39" t="str">
        <f>IF(SUM(J55)=0,"",SUM(J55)/COUNT(J55))</f>
        <v/>
      </c>
    </row>
    <row r="57" spans="1:10" x14ac:dyDescent="0.2">
      <c r="A57" s="48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49" t="s">
        <v>73</v>
      </c>
      <c r="B58" s="25">
        <f>SUM(B57)</f>
        <v>0</v>
      </c>
      <c r="C58" s="25">
        <f t="shared" ref="C58:I58" si="7">SUM(C57)</f>
        <v>0</v>
      </c>
      <c r="D58" s="25">
        <f t="shared" si="7"/>
        <v>0</v>
      </c>
      <c r="E58" s="25">
        <f t="shared" si="7"/>
        <v>0</v>
      </c>
      <c r="F58" s="25">
        <f t="shared" si="7"/>
        <v>0</v>
      </c>
      <c r="G58" s="25">
        <f t="shared" si="7"/>
        <v>0</v>
      </c>
      <c r="H58" s="25">
        <f t="shared" si="7"/>
        <v>0</v>
      </c>
      <c r="I58" s="25">
        <f t="shared" si="7"/>
        <v>0</v>
      </c>
      <c r="J58" s="39" t="str">
        <f>IF(SUM(J57)=0,"",SUM(J57)/COUNT(J57))</f>
        <v/>
      </c>
    </row>
    <row r="59" spans="1:10" x14ac:dyDescent="0.2">
      <c r="A59" s="48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49" t="s">
        <v>73</v>
      </c>
      <c r="B60" s="25">
        <f>SUM(B59)</f>
        <v>0</v>
      </c>
      <c r="C60" s="25">
        <f t="shared" ref="C60:I60" si="8">SUM(C59)</f>
        <v>0</v>
      </c>
      <c r="D60" s="25">
        <f t="shared" si="8"/>
        <v>0</v>
      </c>
      <c r="E60" s="25">
        <f t="shared" si="8"/>
        <v>0</v>
      </c>
      <c r="F60" s="25">
        <f t="shared" si="8"/>
        <v>0</v>
      </c>
      <c r="G60" s="25">
        <f t="shared" si="8"/>
        <v>0</v>
      </c>
      <c r="H60" s="25">
        <f t="shared" si="8"/>
        <v>0</v>
      </c>
      <c r="I60" s="25">
        <f t="shared" si="8"/>
        <v>0</v>
      </c>
      <c r="J60" s="39" t="str">
        <f>IF(SUM(J59)=0,"",SUM(J59)/COUNT(J59))</f>
        <v/>
      </c>
    </row>
    <row r="61" spans="1:10" x14ac:dyDescent="0.2">
      <c r="A61" s="48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49" t="s">
        <v>73</v>
      </c>
      <c r="B62" s="25">
        <f t="shared" ref="B62:I62" si="9">SUM(B61)</f>
        <v>0</v>
      </c>
      <c r="C62" s="25">
        <f t="shared" si="9"/>
        <v>0</v>
      </c>
      <c r="D62" s="25">
        <f t="shared" si="9"/>
        <v>0</v>
      </c>
      <c r="E62" s="25">
        <f t="shared" si="9"/>
        <v>0</v>
      </c>
      <c r="F62" s="25">
        <f t="shared" si="9"/>
        <v>0</v>
      </c>
      <c r="G62" s="25">
        <f t="shared" si="9"/>
        <v>0</v>
      </c>
      <c r="H62" s="25">
        <f t="shared" si="9"/>
        <v>0</v>
      </c>
      <c r="I62" s="25">
        <f t="shared" si="9"/>
        <v>0</v>
      </c>
      <c r="J62" s="39" t="str">
        <f>IF(SUM(J61)=0,"",SUM(J61)/COUNT(J61))</f>
        <v/>
      </c>
    </row>
    <row r="63" spans="1:10" x14ac:dyDescent="0.2">
      <c r="A63" s="50" t="s">
        <v>61</v>
      </c>
      <c r="B63" s="40">
        <f t="shared" ref="B63:I63" si="10">SUM(B56,B54,B52,B47,B38,B31,B17,B58,B60,B62)</f>
        <v>74</v>
      </c>
      <c r="C63" s="40">
        <f t="shared" si="10"/>
        <v>62754616</v>
      </c>
      <c r="D63" s="40">
        <f t="shared" si="10"/>
        <v>116</v>
      </c>
      <c r="E63" s="40">
        <f t="shared" si="10"/>
        <v>38422810</v>
      </c>
      <c r="F63" s="40">
        <f t="shared" si="10"/>
        <v>68</v>
      </c>
      <c r="G63" s="40">
        <f t="shared" si="10"/>
        <v>56467806</v>
      </c>
      <c r="H63" s="40">
        <f t="shared" si="10"/>
        <v>0</v>
      </c>
      <c r="I63" s="40">
        <f t="shared" si="10"/>
        <v>6973026</v>
      </c>
      <c r="J63" s="43"/>
    </row>
  </sheetData>
  <phoneticPr fontId="2"/>
  <pageMargins left="0.7" right="0.7" top="0.75" bottom="0.75" header="0.3" footer="0.3"/>
  <pageSetup paperSize="9" scale="83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BA880-2707-4547-AE3A-CE035DD5EB69}">
  <sheetPr>
    <pageSetUpPr fitToPage="1"/>
  </sheetPr>
  <dimension ref="A1:J63"/>
  <sheetViews>
    <sheetView workbookViewId="0">
      <selection activeCell="E15" sqref="E15"/>
    </sheetView>
  </sheetViews>
  <sheetFormatPr defaultRowHeight="13" x14ac:dyDescent="0.2"/>
  <cols>
    <col min="1" max="1" width="15.81640625" style="33" customWidth="1"/>
    <col min="2" max="2" width="6.6328125" style="7" customWidth="1"/>
    <col min="3" max="3" width="11.6328125" style="7" customWidth="1"/>
    <col min="4" max="4" width="6.6328125" style="7" customWidth="1"/>
    <col min="5" max="5" width="10.6328125" style="7" customWidth="1"/>
    <col min="6" max="6" width="6.6328125" style="7" customWidth="1"/>
    <col min="7" max="7" width="10.81640625" style="7" customWidth="1"/>
    <col min="8" max="8" width="10.6328125" style="7" customWidth="1"/>
    <col min="9" max="9" width="9.90625" style="7" customWidth="1"/>
    <col min="10" max="10" width="6.6328125" style="8" customWidth="1"/>
  </cols>
  <sheetData>
    <row r="1" spans="1:10" x14ac:dyDescent="0.2">
      <c r="A1" s="33" t="s">
        <v>0</v>
      </c>
      <c r="B1" s="6" t="s">
        <v>139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x14ac:dyDescent="0.2">
      <c r="B3" s="19" t="s">
        <v>63</v>
      </c>
      <c r="C3" s="19" t="s">
        <v>64</v>
      </c>
      <c r="D3" s="20" t="s">
        <v>63</v>
      </c>
      <c r="E3" s="20" t="s">
        <v>64</v>
      </c>
      <c r="F3" s="21" t="s">
        <v>63</v>
      </c>
      <c r="G3" s="21" t="s">
        <v>64</v>
      </c>
      <c r="H3" s="22"/>
      <c r="I3" s="22"/>
      <c r="J3" s="23"/>
    </row>
    <row r="4" spans="1:10" x14ac:dyDescent="0.2">
      <c r="A4" s="48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48" t="s">
        <v>72</v>
      </c>
      <c r="B5" s="24">
        <v>50</v>
      </c>
      <c r="C5" s="24">
        <v>20000000</v>
      </c>
      <c r="D5" s="24">
        <v>50</v>
      </c>
      <c r="E5" s="24">
        <v>14000000</v>
      </c>
      <c r="F5" s="24">
        <v>12</v>
      </c>
      <c r="G5" s="24">
        <v>6800000</v>
      </c>
      <c r="H5" s="24">
        <v>20000000</v>
      </c>
      <c r="I5" s="24">
        <v>2400000</v>
      </c>
      <c r="J5" s="38">
        <v>0.12</v>
      </c>
    </row>
    <row r="6" spans="1:10" x14ac:dyDescent="0.2">
      <c r="A6" s="48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48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48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48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48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48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48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48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48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48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48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49" t="s">
        <v>73</v>
      </c>
      <c r="B17" s="25">
        <f>SUM(B5:B16)</f>
        <v>50</v>
      </c>
      <c r="C17" s="25">
        <f t="shared" ref="C17:I17" si="0">SUM(C5:C16)</f>
        <v>20000000</v>
      </c>
      <c r="D17" s="25">
        <f t="shared" si="0"/>
        <v>50</v>
      </c>
      <c r="E17" s="25">
        <f t="shared" si="0"/>
        <v>14000000</v>
      </c>
      <c r="F17" s="25">
        <f t="shared" si="0"/>
        <v>12</v>
      </c>
      <c r="G17" s="25">
        <f t="shared" si="0"/>
        <v>6800000</v>
      </c>
      <c r="H17" s="25">
        <f t="shared" si="0"/>
        <v>20000000</v>
      </c>
      <c r="I17" s="25">
        <f t="shared" si="0"/>
        <v>2400000</v>
      </c>
      <c r="J17" s="39">
        <f>IF(SUM(J4:J16)=0,"",SUM(J4:J16)/COUNT(J4:J16))</f>
        <v>0.12</v>
      </c>
    </row>
    <row r="18" spans="1:10" x14ac:dyDescent="0.2">
      <c r="A18" s="48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48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48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48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48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48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48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48" t="s">
        <v>49</v>
      </c>
      <c r="B25" s="24"/>
      <c r="C25" s="24"/>
      <c r="D25" s="24"/>
      <c r="E25" s="24"/>
      <c r="F25" s="24"/>
      <c r="G25" s="24"/>
      <c r="H25" s="24"/>
      <c r="I25" s="24"/>
      <c r="J25" s="38"/>
    </row>
    <row r="26" spans="1:10" x14ac:dyDescent="0.2">
      <c r="A26" s="48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48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48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48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48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49" t="s">
        <v>73</v>
      </c>
      <c r="B31" s="25">
        <f t="shared" ref="B31:I31" si="1">SUM(B18:B30)</f>
        <v>0</v>
      </c>
      <c r="C31" s="25">
        <f t="shared" si="1"/>
        <v>0</v>
      </c>
      <c r="D31" s="25">
        <f t="shared" si="1"/>
        <v>0</v>
      </c>
      <c r="E31" s="25">
        <f t="shared" si="1"/>
        <v>0</v>
      </c>
      <c r="F31" s="25">
        <f t="shared" si="1"/>
        <v>0</v>
      </c>
      <c r="G31" s="25">
        <f t="shared" si="1"/>
        <v>0</v>
      </c>
      <c r="H31" s="25">
        <f t="shared" si="1"/>
        <v>0</v>
      </c>
      <c r="I31" s="25">
        <f t="shared" si="1"/>
        <v>0</v>
      </c>
      <c r="J31" s="39" t="str">
        <f>IF(SUM(J18:J30)=0,"",SUM(J18:J30)/COUNT(J18:J30))</f>
        <v/>
      </c>
    </row>
    <row r="32" spans="1:10" x14ac:dyDescent="0.2">
      <c r="A32" s="48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48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48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48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48" t="s">
        <v>71</v>
      </c>
      <c r="B36" s="24">
        <v>4</v>
      </c>
      <c r="C36" s="24">
        <v>20000000</v>
      </c>
      <c r="D36" s="24">
        <v>1</v>
      </c>
      <c r="E36" s="24">
        <v>5000000</v>
      </c>
      <c r="F36" s="24">
        <v>5</v>
      </c>
      <c r="G36" s="24">
        <v>22720000</v>
      </c>
      <c r="H36" s="24">
        <v>25000000</v>
      </c>
      <c r="I36" s="24">
        <v>3000000</v>
      </c>
      <c r="J36" s="38">
        <v>0.12</v>
      </c>
    </row>
    <row r="37" spans="1:10" x14ac:dyDescent="0.2">
      <c r="A37" s="48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49" t="s">
        <v>73</v>
      </c>
      <c r="B38" s="25">
        <f>SUM(B32:B37)</f>
        <v>4</v>
      </c>
      <c r="C38" s="25">
        <f t="shared" ref="C38:I38" si="2">SUM(C32:C37)</f>
        <v>20000000</v>
      </c>
      <c r="D38" s="25">
        <f t="shared" si="2"/>
        <v>1</v>
      </c>
      <c r="E38" s="25">
        <f t="shared" si="2"/>
        <v>5000000</v>
      </c>
      <c r="F38" s="25">
        <f t="shared" si="2"/>
        <v>5</v>
      </c>
      <c r="G38" s="25">
        <f t="shared" si="2"/>
        <v>22720000</v>
      </c>
      <c r="H38" s="25">
        <f t="shared" si="2"/>
        <v>25000000</v>
      </c>
      <c r="I38" s="25">
        <f t="shared" si="2"/>
        <v>3000000</v>
      </c>
      <c r="J38" s="39">
        <f>IF(SUM(J32:J37)=0,"",SUM(J32:J37)/COUNT(J32:J37))</f>
        <v>0.12</v>
      </c>
    </row>
    <row r="39" spans="1:10" ht="24" x14ac:dyDescent="0.2">
      <c r="A39" s="48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48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48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48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48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48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48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48" t="s">
        <v>69</v>
      </c>
      <c r="B46" s="24">
        <v>1000</v>
      </c>
      <c r="C46" s="24">
        <v>30000000</v>
      </c>
      <c r="D46" s="24">
        <v>700</v>
      </c>
      <c r="E46" s="24">
        <v>13000000</v>
      </c>
      <c r="F46" s="24">
        <v>376</v>
      </c>
      <c r="G46" s="24">
        <v>20012000</v>
      </c>
      <c r="H46" s="24">
        <v>26000000</v>
      </c>
      <c r="I46" s="24">
        <v>3120000</v>
      </c>
      <c r="J46" s="38">
        <v>0.12</v>
      </c>
    </row>
    <row r="47" spans="1:10" x14ac:dyDescent="0.2">
      <c r="A47" s="49" t="s">
        <v>73</v>
      </c>
      <c r="B47" s="25">
        <f>SUM(B39:B46)</f>
        <v>1000</v>
      </c>
      <c r="C47" s="25">
        <f t="shared" ref="C47:I47" si="3">SUM(C39:C46)</f>
        <v>30000000</v>
      </c>
      <c r="D47" s="25">
        <f t="shared" si="3"/>
        <v>700</v>
      </c>
      <c r="E47" s="25">
        <f t="shared" si="3"/>
        <v>13000000</v>
      </c>
      <c r="F47" s="25">
        <f t="shared" si="3"/>
        <v>376</v>
      </c>
      <c r="G47" s="25">
        <f t="shared" si="3"/>
        <v>20012000</v>
      </c>
      <c r="H47" s="25">
        <f t="shared" si="3"/>
        <v>26000000</v>
      </c>
      <c r="I47" s="25">
        <f t="shared" si="3"/>
        <v>3120000</v>
      </c>
      <c r="J47" s="39">
        <f>IF(SUM(J39:J46)=0,"",SUM(J39:J46)/COUNT(J39:J46))</f>
        <v>0.12</v>
      </c>
    </row>
    <row r="48" spans="1:10" x14ac:dyDescent="0.2">
      <c r="A48" s="48" t="s">
        <v>58</v>
      </c>
      <c r="B48" s="24"/>
      <c r="C48" s="24"/>
      <c r="D48" s="24"/>
      <c r="E48" s="24"/>
      <c r="F48" s="24"/>
      <c r="G48" s="24"/>
      <c r="H48" s="24"/>
      <c r="I48" s="24"/>
      <c r="J48" s="38"/>
    </row>
    <row r="49" spans="1:10" ht="24" x14ac:dyDescent="0.2">
      <c r="A49" s="48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48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48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49" t="s">
        <v>73</v>
      </c>
      <c r="B52" s="25">
        <f t="shared" ref="B52:I52" si="4">SUM(B48:B49)</f>
        <v>0</v>
      </c>
      <c r="C52" s="25">
        <f t="shared" si="4"/>
        <v>0</v>
      </c>
      <c r="D52" s="25">
        <f t="shared" si="4"/>
        <v>0</v>
      </c>
      <c r="E52" s="25">
        <f t="shared" si="4"/>
        <v>0</v>
      </c>
      <c r="F52" s="25">
        <f t="shared" si="4"/>
        <v>0</v>
      </c>
      <c r="G52" s="25">
        <f t="shared" si="4"/>
        <v>0</v>
      </c>
      <c r="H52" s="25">
        <f t="shared" si="4"/>
        <v>0</v>
      </c>
      <c r="I52" s="25">
        <f t="shared" si="4"/>
        <v>0</v>
      </c>
      <c r="J52" s="39" t="str">
        <f>IF(SUM(J48:J49)=0,"",SUM(J48:J49)/COUNT(J48:J49))</f>
        <v/>
      </c>
    </row>
    <row r="53" spans="1:10" x14ac:dyDescent="0.2">
      <c r="A53" s="48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49" t="s">
        <v>73</v>
      </c>
      <c r="B54" s="25">
        <f>SUM(B53)</f>
        <v>0</v>
      </c>
      <c r="C54" s="25">
        <f t="shared" ref="C54:I54" si="5">SUM(C53)</f>
        <v>0</v>
      </c>
      <c r="D54" s="25">
        <f t="shared" si="5"/>
        <v>0</v>
      </c>
      <c r="E54" s="25">
        <f t="shared" si="5"/>
        <v>0</v>
      </c>
      <c r="F54" s="25">
        <f t="shared" si="5"/>
        <v>0</v>
      </c>
      <c r="G54" s="25">
        <f t="shared" si="5"/>
        <v>0</v>
      </c>
      <c r="H54" s="25">
        <f t="shared" si="5"/>
        <v>0</v>
      </c>
      <c r="I54" s="25">
        <f t="shared" si="5"/>
        <v>0</v>
      </c>
      <c r="J54" s="39" t="str">
        <f>IF(SUM(J53)=0,"",SUM(J53)/COUNT(J53))</f>
        <v/>
      </c>
    </row>
    <row r="55" spans="1:10" x14ac:dyDescent="0.2">
      <c r="A55" s="48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49" t="s">
        <v>73</v>
      </c>
      <c r="B56" s="25">
        <f>SUM(B55)</f>
        <v>0</v>
      </c>
      <c r="C56" s="25">
        <f t="shared" ref="C56:I56" si="6">SUM(C55)</f>
        <v>0</v>
      </c>
      <c r="D56" s="25">
        <f t="shared" si="6"/>
        <v>0</v>
      </c>
      <c r="E56" s="25">
        <f t="shared" si="6"/>
        <v>0</v>
      </c>
      <c r="F56" s="25">
        <f t="shared" si="6"/>
        <v>0</v>
      </c>
      <c r="G56" s="25">
        <f t="shared" si="6"/>
        <v>0</v>
      </c>
      <c r="H56" s="25">
        <f t="shared" si="6"/>
        <v>0</v>
      </c>
      <c r="I56" s="25">
        <f t="shared" si="6"/>
        <v>0</v>
      </c>
      <c r="J56" s="39" t="str">
        <f>IF(SUM(J55)=0,"",SUM(J55)/COUNT(J55))</f>
        <v/>
      </c>
    </row>
    <row r="57" spans="1:10" x14ac:dyDescent="0.2">
      <c r="A57" s="48" t="s">
        <v>75</v>
      </c>
      <c r="B57" s="24">
        <v>8</v>
      </c>
      <c r="C57" s="24">
        <v>15231000</v>
      </c>
      <c r="D57" s="24">
        <v>6</v>
      </c>
      <c r="E57" s="24">
        <v>12000000</v>
      </c>
      <c r="F57" s="24">
        <v>18</v>
      </c>
      <c r="G57" s="24">
        <v>20000000</v>
      </c>
      <c r="H57" s="24">
        <v>24000000</v>
      </c>
      <c r="I57" s="24">
        <v>1920000</v>
      </c>
      <c r="J57" s="38">
        <v>0.08</v>
      </c>
    </row>
    <row r="58" spans="1:10" x14ac:dyDescent="0.2">
      <c r="A58" s="49" t="s">
        <v>73</v>
      </c>
      <c r="B58" s="25">
        <f>SUM(B57)</f>
        <v>8</v>
      </c>
      <c r="C58" s="25">
        <f t="shared" ref="C58:I58" si="7">SUM(C57)</f>
        <v>15231000</v>
      </c>
      <c r="D58" s="25">
        <f t="shared" si="7"/>
        <v>6</v>
      </c>
      <c r="E58" s="25">
        <f t="shared" si="7"/>
        <v>12000000</v>
      </c>
      <c r="F58" s="25">
        <f t="shared" si="7"/>
        <v>18</v>
      </c>
      <c r="G58" s="25">
        <f t="shared" si="7"/>
        <v>20000000</v>
      </c>
      <c r="H58" s="25">
        <f t="shared" si="7"/>
        <v>24000000</v>
      </c>
      <c r="I58" s="25">
        <f t="shared" si="7"/>
        <v>1920000</v>
      </c>
      <c r="J58" s="39">
        <f>IF(SUM(J57)=0,"",SUM(J57)/COUNT(J57))</f>
        <v>0.08</v>
      </c>
    </row>
    <row r="59" spans="1:10" x14ac:dyDescent="0.2">
      <c r="A59" s="48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49" t="s">
        <v>73</v>
      </c>
      <c r="B60" s="25">
        <f>SUM(B59)</f>
        <v>0</v>
      </c>
      <c r="C60" s="25">
        <f t="shared" ref="C60:I60" si="8">SUM(C59)</f>
        <v>0</v>
      </c>
      <c r="D60" s="25">
        <f t="shared" si="8"/>
        <v>0</v>
      </c>
      <c r="E60" s="25">
        <f t="shared" si="8"/>
        <v>0</v>
      </c>
      <c r="F60" s="25">
        <f t="shared" si="8"/>
        <v>0</v>
      </c>
      <c r="G60" s="25">
        <f t="shared" si="8"/>
        <v>0</v>
      </c>
      <c r="H60" s="25">
        <f t="shared" si="8"/>
        <v>0</v>
      </c>
      <c r="I60" s="25">
        <f t="shared" si="8"/>
        <v>0</v>
      </c>
      <c r="J60" s="39" t="str">
        <f>IF(SUM(J59)=0,"",SUM(J59)/COUNT(J59))</f>
        <v/>
      </c>
    </row>
    <row r="61" spans="1:10" x14ac:dyDescent="0.2">
      <c r="A61" s="48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49" t="s">
        <v>73</v>
      </c>
      <c r="B62" s="25">
        <f t="shared" ref="B62:I62" si="9">SUM(B61)</f>
        <v>0</v>
      </c>
      <c r="C62" s="25">
        <f t="shared" si="9"/>
        <v>0</v>
      </c>
      <c r="D62" s="25">
        <f t="shared" si="9"/>
        <v>0</v>
      </c>
      <c r="E62" s="25">
        <f t="shared" si="9"/>
        <v>0</v>
      </c>
      <c r="F62" s="25">
        <f t="shared" si="9"/>
        <v>0</v>
      </c>
      <c r="G62" s="25">
        <f t="shared" si="9"/>
        <v>0</v>
      </c>
      <c r="H62" s="25">
        <f t="shared" si="9"/>
        <v>0</v>
      </c>
      <c r="I62" s="25">
        <f t="shared" si="9"/>
        <v>0</v>
      </c>
      <c r="J62" s="39" t="str">
        <f>IF(SUM(J61)=0,"",SUM(J61)/COUNT(J61))</f>
        <v/>
      </c>
    </row>
    <row r="63" spans="1:10" x14ac:dyDescent="0.2">
      <c r="A63" s="50" t="s">
        <v>61</v>
      </c>
      <c r="B63" s="40">
        <f t="shared" ref="B63:I63" si="10">SUM(B56,B54,B52,B47,B38,B31,B17,B58,B60,B62)</f>
        <v>1062</v>
      </c>
      <c r="C63" s="40">
        <f t="shared" si="10"/>
        <v>85231000</v>
      </c>
      <c r="D63" s="40">
        <f t="shared" si="10"/>
        <v>757</v>
      </c>
      <c r="E63" s="40">
        <f t="shared" si="10"/>
        <v>44000000</v>
      </c>
      <c r="F63" s="40">
        <f t="shared" si="10"/>
        <v>411</v>
      </c>
      <c r="G63" s="40">
        <f t="shared" si="10"/>
        <v>69532000</v>
      </c>
      <c r="H63" s="40">
        <f t="shared" si="10"/>
        <v>95000000</v>
      </c>
      <c r="I63" s="40">
        <f t="shared" si="10"/>
        <v>10440000</v>
      </c>
      <c r="J63" s="41">
        <f>I63/H63</f>
        <v>0.10989473684210527</v>
      </c>
    </row>
  </sheetData>
  <phoneticPr fontId="2"/>
  <pageMargins left="0.7" right="0.7" top="0.75" bottom="0.75" header="0.3" footer="0.3"/>
  <pageSetup paperSize="9" scale="87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FE391-9B3D-4A96-9A14-08CA182E3278}">
  <sheetPr>
    <pageSetUpPr fitToPage="1"/>
  </sheetPr>
  <dimension ref="A1:J63"/>
  <sheetViews>
    <sheetView workbookViewId="0">
      <selection activeCell="F11" sqref="F11"/>
    </sheetView>
  </sheetViews>
  <sheetFormatPr defaultRowHeight="13" x14ac:dyDescent="0.2"/>
  <cols>
    <col min="1" max="1" width="15.81640625" style="33" customWidth="1"/>
    <col min="2" max="2" width="9.08984375" style="7"/>
    <col min="3" max="3" width="11" style="7" bestFit="1" customWidth="1"/>
    <col min="4" max="4" width="9.08984375" style="7"/>
    <col min="5" max="5" width="9.6328125" style="7" customWidth="1"/>
    <col min="6" max="6" width="9.08984375" style="7"/>
    <col min="7" max="7" width="7.1796875" style="7" customWidth="1"/>
    <col min="8" max="8" width="9.08984375" style="7"/>
    <col min="9" max="9" width="9.90625" style="7" bestFit="1" customWidth="1"/>
    <col min="10" max="10" width="9.08984375" style="8"/>
  </cols>
  <sheetData>
    <row r="1" spans="1:10" x14ac:dyDescent="0.2">
      <c r="A1" s="33" t="s">
        <v>0</v>
      </c>
      <c r="B1" s="6" t="s">
        <v>140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>
        <v>12</v>
      </c>
      <c r="C5" s="24">
        <v>3580000</v>
      </c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f>SUM(B5:B16)</f>
        <v>12</v>
      </c>
      <c r="C17" s="25">
        <f t="shared" ref="C17:I17" si="0">SUM(C5:C16)</f>
        <v>3580000</v>
      </c>
      <c r="D17" s="25">
        <f t="shared" si="0"/>
        <v>0</v>
      </c>
      <c r="E17" s="25">
        <f t="shared" si="0"/>
        <v>0</v>
      </c>
      <c r="F17" s="25">
        <f t="shared" si="0"/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39" t="str">
        <f>IF(SUM(J4:J16)=0,"",SUM(J4:J16)/COUNT(J4:J16))</f>
        <v/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/>
      <c r="C25" s="24"/>
      <c r="D25" s="24"/>
      <c r="E25" s="24"/>
      <c r="F25" s="24"/>
      <c r="G25" s="24"/>
      <c r="H25" s="24"/>
      <c r="I25" s="24"/>
      <c r="J25" s="38"/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f t="shared" ref="B31:I31" si="1">SUM(B18:B30)</f>
        <v>0</v>
      </c>
      <c r="C31" s="25">
        <f t="shared" si="1"/>
        <v>0</v>
      </c>
      <c r="D31" s="25">
        <f t="shared" si="1"/>
        <v>0</v>
      </c>
      <c r="E31" s="25">
        <f t="shared" si="1"/>
        <v>0</v>
      </c>
      <c r="F31" s="25">
        <f t="shared" si="1"/>
        <v>0</v>
      </c>
      <c r="G31" s="25">
        <f t="shared" si="1"/>
        <v>0</v>
      </c>
      <c r="H31" s="25">
        <f t="shared" si="1"/>
        <v>0</v>
      </c>
      <c r="I31" s="25">
        <f t="shared" si="1"/>
        <v>0</v>
      </c>
      <c r="J31" s="39" t="str">
        <f>IF(SUM(J18:J30)=0,"",SUM(J18:J30)/COUNT(J18:J30))</f>
        <v/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>
        <v>2</v>
      </c>
      <c r="C36" s="24">
        <v>6700000</v>
      </c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f>SUM(B32:B37)</f>
        <v>2</v>
      </c>
      <c r="C38" s="25">
        <f t="shared" ref="C38:I38" si="2">SUM(C32:C37)</f>
        <v>6700000</v>
      </c>
      <c r="D38" s="25">
        <f t="shared" si="2"/>
        <v>0</v>
      </c>
      <c r="E38" s="25">
        <f t="shared" si="2"/>
        <v>0</v>
      </c>
      <c r="F38" s="25">
        <f t="shared" si="2"/>
        <v>0</v>
      </c>
      <c r="G38" s="25">
        <f t="shared" si="2"/>
        <v>0</v>
      </c>
      <c r="H38" s="25">
        <f t="shared" si="2"/>
        <v>0</v>
      </c>
      <c r="I38" s="25">
        <f t="shared" si="2"/>
        <v>0</v>
      </c>
      <c r="J38" s="39" t="str">
        <f>IF(SUM(J32:J37)=0,"",SUM(J32:J37)/COUNT(J32:J37))</f>
        <v/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>
        <v>685</v>
      </c>
      <c r="C46" s="24">
        <v>18069910</v>
      </c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f>SUM(B39:B46)</f>
        <v>685</v>
      </c>
      <c r="C47" s="25">
        <f t="shared" ref="C47:I47" si="3">SUM(C39:C46)</f>
        <v>18069910</v>
      </c>
      <c r="D47" s="25">
        <f t="shared" si="3"/>
        <v>0</v>
      </c>
      <c r="E47" s="25">
        <f t="shared" si="3"/>
        <v>0</v>
      </c>
      <c r="F47" s="25">
        <f t="shared" si="3"/>
        <v>0</v>
      </c>
      <c r="G47" s="25">
        <f t="shared" si="3"/>
        <v>0</v>
      </c>
      <c r="H47" s="25">
        <f t="shared" si="3"/>
        <v>0</v>
      </c>
      <c r="I47" s="25">
        <f t="shared" si="3"/>
        <v>0</v>
      </c>
      <c r="J47" s="39" t="str">
        <f>IF(SUM(J39:J46)=0,"",SUM(J39:J46)/COUNT(J39:J46))</f>
        <v/>
      </c>
    </row>
    <row r="48" spans="1:10" x14ac:dyDescent="0.2">
      <c r="A48" s="35" t="s">
        <v>58</v>
      </c>
      <c r="B48" s="24"/>
      <c r="C48" s="24"/>
      <c r="D48" s="24"/>
      <c r="E48" s="24"/>
      <c r="F48" s="24"/>
      <c r="G48" s="24"/>
      <c r="H48" s="24"/>
      <c r="I48" s="24"/>
      <c r="J48" s="38"/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f t="shared" ref="B52:I52" si="4">SUM(B48:B49)</f>
        <v>0</v>
      </c>
      <c r="C52" s="25">
        <f t="shared" si="4"/>
        <v>0</v>
      </c>
      <c r="D52" s="25">
        <f t="shared" si="4"/>
        <v>0</v>
      </c>
      <c r="E52" s="25">
        <f t="shared" si="4"/>
        <v>0</v>
      </c>
      <c r="F52" s="25">
        <f t="shared" si="4"/>
        <v>0</v>
      </c>
      <c r="G52" s="25">
        <f t="shared" si="4"/>
        <v>0</v>
      </c>
      <c r="H52" s="25">
        <f t="shared" si="4"/>
        <v>0</v>
      </c>
      <c r="I52" s="25">
        <f t="shared" si="4"/>
        <v>0</v>
      </c>
      <c r="J52" s="39" t="str">
        <f>IF(SUM(J48:J49)=0,"",SUM(J48:J49)/COUNT(J48:J49))</f>
        <v/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f>SUM(B53)</f>
        <v>0</v>
      </c>
      <c r="C54" s="25">
        <f t="shared" ref="C54:I54" si="5">SUM(C53)</f>
        <v>0</v>
      </c>
      <c r="D54" s="25">
        <f t="shared" si="5"/>
        <v>0</v>
      </c>
      <c r="E54" s="25">
        <f t="shared" si="5"/>
        <v>0</v>
      </c>
      <c r="F54" s="25">
        <f t="shared" si="5"/>
        <v>0</v>
      </c>
      <c r="G54" s="25">
        <f t="shared" si="5"/>
        <v>0</v>
      </c>
      <c r="H54" s="25">
        <f t="shared" si="5"/>
        <v>0</v>
      </c>
      <c r="I54" s="25">
        <f t="shared" si="5"/>
        <v>0</v>
      </c>
      <c r="J54" s="39" t="str">
        <f>IF(SUM(J53)=0,"",SUM(J53)/COUNT(J53))</f>
        <v/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f>SUM(B55)</f>
        <v>0</v>
      </c>
      <c r="C56" s="25">
        <f t="shared" ref="C56:I56" si="6">SUM(C55)</f>
        <v>0</v>
      </c>
      <c r="D56" s="25">
        <f t="shared" si="6"/>
        <v>0</v>
      </c>
      <c r="E56" s="25">
        <f t="shared" si="6"/>
        <v>0</v>
      </c>
      <c r="F56" s="25">
        <f t="shared" si="6"/>
        <v>0</v>
      </c>
      <c r="G56" s="25">
        <f t="shared" si="6"/>
        <v>0</v>
      </c>
      <c r="H56" s="25">
        <f t="shared" si="6"/>
        <v>0</v>
      </c>
      <c r="I56" s="25">
        <f t="shared" si="6"/>
        <v>0</v>
      </c>
      <c r="J56" s="39" t="str">
        <f>IF(SUM(J55)=0,"",SUM(J55)/COUNT(J55))</f>
        <v/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f>SUM(B57)</f>
        <v>0</v>
      </c>
      <c r="C58" s="25">
        <f t="shared" ref="C58:I58" si="7">SUM(C57)</f>
        <v>0</v>
      </c>
      <c r="D58" s="25">
        <f t="shared" si="7"/>
        <v>0</v>
      </c>
      <c r="E58" s="25">
        <f t="shared" si="7"/>
        <v>0</v>
      </c>
      <c r="F58" s="25">
        <f t="shared" si="7"/>
        <v>0</v>
      </c>
      <c r="G58" s="25">
        <f t="shared" si="7"/>
        <v>0</v>
      </c>
      <c r="H58" s="25">
        <f t="shared" si="7"/>
        <v>0</v>
      </c>
      <c r="I58" s="25">
        <f t="shared" si="7"/>
        <v>0</v>
      </c>
      <c r="J58" s="39" t="str">
        <f>IF(SUM(J57)=0,"",SUM(J57)/COUNT(J57))</f>
        <v/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f>SUM(B59)</f>
        <v>0</v>
      </c>
      <c r="C60" s="25">
        <f t="shared" ref="C60:I60" si="8">SUM(C59)</f>
        <v>0</v>
      </c>
      <c r="D60" s="25">
        <f t="shared" si="8"/>
        <v>0</v>
      </c>
      <c r="E60" s="25">
        <f t="shared" si="8"/>
        <v>0</v>
      </c>
      <c r="F60" s="25">
        <f t="shared" si="8"/>
        <v>0</v>
      </c>
      <c r="G60" s="25">
        <f t="shared" si="8"/>
        <v>0</v>
      </c>
      <c r="H60" s="25">
        <f t="shared" si="8"/>
        <v>0</v>
      </c>
      <c r="I60" s="25">
        <f t="shared" si="8"/>
        <v>0</v>
      </c>
      <c r="J60" s="39" t="str">
        <f>IF(SUM(J59)=0,"",SUM(J59)/COUNT(J59))</f>
        <v/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f t="shared" ref="B62:I62" si="9">SUM(B61)</f>
        <v>0</v>
      </c>
      <c r="C62" s="25">
        <f t="shared" si="9"/>
        <v>0</v>
      </c>
      <c r="D62" s="25">
        <f t="shared" si="9"/>
        <v>0</v>
      </c>
      <c r="E62" s="25">
        <f t="shared" si="9"/>
        <v>0</v>
      </c>
      <c r="F62" s="25">
        <f t="shared" si="9"/>
        <v>0</v>
      </c>
      <c r="G62" s="25">
        <f t="shared" si="9"/>
        <v>0</v>
      </c>
      <c r="H62" s="25">
        <f t="shared" si="9"/>
        <v>0</v>
      </c>
      <c r="I62" s="25">
        <f t="shared" si="9"/>
        <v>0</v>
      </c>
      <c r="J62" s="39" t="str">
        <f>IF(SUM(J61)=0,"",SUM(J61)/COUNT(J61))</f>
        <v/>
      </c>
    </row>
    <row r="63" spans="1:10" ht="13.5" thickBot="1" x14ac:dyDescent="0.25">
      <c r="A63" s="37" t="s">
        <v>61</v>
      </c>
      <c r="B63" s="40">
        <f t="shared" ref="B63:I63" si="10">SUM(B56,B54,B52,B47,B38,B31,B17,B58,B60,B62)</f>
        <v>699</v>
      </c>
      <c r="C63" s="40">
        <f t="shared" si="10"/>
        <v>28349910</v>
      </c>
      <c r="D63" s="40">
        <f t="shared" si="10"/>
        <v>0</v>
      </c>
      <c r="E63" s="40">
        <f t="shared" si="10"/>
        <v>0</v>
      </c>
      <c r="F63" s="40">
        <f t="shared" si="10"/>
        <v>0</v>
      </c>
      <c r="G63" s="40">
        <f t="shared" si="10"/>
        <v>0</v>
      </c>
      <c r="H63" s="40">
        <f t="shared" si="10"/>
        <v>0</v>
      </c>
      <c r="I63" s="40">
        <f t="shared" si="10"/>
        <v>0</v>
      </c>
      <c r="J63" s="43"/>
    </row>
  </sheetData>
  <phoneticPr fontId="2"/>
  <pageMargins left="0.7" right="0.7" top="0.75" bottom="0.75" header="0.3" footer="0.3"/>
  <pageSetup paperSize="9" scale="87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BB897-2B34-4825-B04E-294D842A8092}">
  <sheetPr>
    <pageSetUpPr fitToPage="1"/>
  </sheetPr>
  <dimension ref="A1:J63"/>
  <sheetViews>
    <sheetView workbookViewId="0">
      <selection activeCell="I6" sqref="I6"/>
    </sheetView>
  </sheetViews>
  <sheetFormatPr defaultRowHeight="13" x14ac:dyDescent="0.2"/>
  <cols>
    <col min="1" max="1" width="15.81640625" style="33" customWidth="1"/>
    <col min="2" max="2" width="9.08984375" style="7"/>
    <col min="3" max="3" width="11" style="7" bestFit="1" customWidth="1"/>
    <col min="4" max="4" width="9.08984375" style="7"/>
    <col min="5" max="5" width="11" style="7" bestFit="1" customWidth="1"/>
    <col min="6" max="6" width="9.08984375" style="7"/>
    <col min="7" max="7" width="11" style="7" bestFit="1" customWidth="1"/>
    <col min="8" max="8" width="9.08984375" style="7"/>
    <col min="9" max="9" width="9.90625" style="7" bestFit="1" customWidth="1"/>
    <col min="10" max="10" width="9.08984375" style="8"/>
  </cols>
  <sheetData>
    <row r="1" spans="1:10" x14ac:dyDescent="0.2">
      <c r="A1" s="33" t="s">
        <v>0</v>
      </c>
      <c r="B1" s="6" t="s">
        <v>141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4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45" t="s">
        <v>72</v>
      </c>
      <c r="B5" s="24">
        <f>12+3</f>
        <v>15</v>
      </c>
      <c r="C5" s="24">
        <f>3800000+900000</f>
        <v>4700000</v>
      </c>
      <c r="D5" s="24"/>
      <c r="E5" s="24"/>
      <c r="F5" s="24">
        <f>13+8</f>
        <v>21</v>
      </c>
      <c r="G5" s="24">
        <f>2277000+2379000</f>
        <v>4656000</v>
      </c>
      <c r="H5" s="24"/>
      <c r="I5" s="24"/>
      <c r="J5" s="38"/>
    </row>
    <row r="6" spans="1:10" x14ac:dyDescent="0.2">
      <c r="A6" s="4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4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4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4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4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4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4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4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4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4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4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46" t="s">
        <v>73</v>
      </c>
      <c r="B17" s="25">
        <f>SUM(B5:B16)</f>
        <v>15</v>
      </c>
      <c r="C17" s="25">
        <f t="shared" ref="C17:I17" si="0">SUM(C5:C16)</f>
        <v>4700000</v>
      </c>
      <c r="D17" s="25">
        <f t="shared" si="0"/>
        <v>0</v>
      </c>
      <c r="E17" s="25">
        <f t="shared" si="0"/>
        <v>0</v>
      </c>
      <c r="F17" s="25">
        <f t="shared" si="0"/>
        <v>21</v>
      </c>
      <c r="G17" s="25">
        <f t="shared" si="0"/>
        <v>4656000</v>
      </c>
      <c r="H17" s="25">
        <f t="shared" si="0"/>
        <v>0</v>
      </c>
      <c r="I17" s="25">
        <f t="shared" si="0"/>
        <v>0</v>
      </c>
      <c r="J17" s="39" t="str">
        <f>IF(SUM(J4:J16)=0,"",SUM(J4:J16)/COUNT(J4:J16))</f>
        <v/>
      </c>
    </row>
    <row r="18" spans="1:10" x14ac:dyDescent="0.2">
      <c r="A18" s="4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4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4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4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4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4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4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45" t="s">
        <v>49</v>
      </c>
      <c r="B25" s="24"/>
      <c r="C25" s="24"/>
      <c r="D25" s="24"/>
      <c r="E25" s="24"/>
      <c r="F25" s="24">
        <v>1170</v>
      </c>
      <c r="G25" s="24">
        <v>14539000</v>
      </c>
      <c r="H25" s="24"/>
      <c r="I25" s="24"/>
      <c r="J25" s="38"/>
    </row>
    <row r="26" spans="1:10" x14ac:dyDescent="0.2">
      <c r="A26" s="4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4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4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4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4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46" t="s">
        <v>73</v>
      </c>
      <c r="B31" s="25">
        <f t="shared" ref="B31:I31" si="1">SUM(B18:B30)</f>
        <v>0</v>
      </c>
      <c r="C31" s="25">
        <f t="shared" si="1"/>
        <v>0</v>
      </c>
      <c r="D31" s="25">
        <f t="shared" si="1"/>
        <v>0</v>
      </c>
      <c r="E31" s="25">
        <f t="shared" si="1"/>
        <v>0</v>
      </c>
      <c r="F31" s="25">
        <f t="shared" si="1"/>
        <v>1170</v>
      </c>
      <c r="G31" s="25">
        <f t="shared" si="1"/>
        <v>14539000</v>
      </c>
      <c r="H31" s="25">
        <f t="shared" si="1"/>
        <v>0</v>
      </c>
      <c r="I31" s="25">
        <f t="shared" si="1"/>
        <v>0</v>
      </c>
      <c r="J31" s="39" t="str">
        <f>IF(SUM(J18:J30)=0,"",SUM(J18:J30)/COUNT(J18:J30))</f>
        <v/>
      </c>
    </row>
    <row r="32" spans="1:10" x14ac:dyDescent="0.2">
      <c r="A32" s="4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4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4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4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45" t="s">
        <v>71</v>
      </c>
      <c r="B36" s="24">
        <f>3+3</f>
        <v>6</v>
      </c>
      <c r="C36" s="24">
        <f>19890000+8100000</f>
        <v>27990000</v>
      </c>
      <c r="D36" s="24"/>
      <c r="E36" s="24"/>
      <c r="F36" s="24">
        <f>3+11</f>
        <v>14</v>
      </c>
      <c r="G36" s="24">
        <f>7798000+19599000</f>
        <v>27397000</v>
      </c>
      <c r="H36" s="24"/>
      <c r="I36" s="24"/>
      <c r="J36" s="38"/>
    </row>
    <row r="37" spans="1:10" x14ac:dyDescent="0.2">
      <c r="A37" s="4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46" t="s">
        <v>73</v>
      </c>
      <c r="B38" s="25">
        <f>SUM(B32:B37)</f>
        <v>6</v>
      </c>
      <c r="C38" s="25">
        <f t="shared" ref="C38:I38" si="2">SUM(C32:C37)</f>
        <v>27990000</v>
      </c>
      <c r="D38" s="25">
        <f t="shared" si="2"/>
        <v>0</v>
      </c>
      <c r="E38" s="25">
        <f t="shared" si="2"/>
        <v>0</v>
      </c>
      <c r="F38" s="25">
        <f t="shared" si="2"/>
        <v>14</v>
      </c>
      <c r="G38" s="25">
        <f t="shared" si="2"/>
        <v>27397000</v>
      </c>
      <c r="H38" s="25">
        <f t="shared" si="2"/>
        <v>0</v>
      </c>
      <c r="I38" s="25">
        <f t="shared" si="2"/>
        <v>0</v>
      </c>
      <c r="J38" s="39" t="str">
        <f>IF(SUM(J32:J37)=0,"",SUM(J32:J37)/COUNT(J32:J37))</f>
        <v/>
      </c>
    </row>
    <row r="39" spans="1:10" ht="24" x14ac:dyDescent="0.2">
      <c r="A39" s="45" t="s">
        <v>87</v>
      </c>
      <c r="B39" s="24"/>
      <c r="C39" s="24"/>
      <c r="D39" s="24"/>
      <c r="E39" s="24"/>
      <c r="F39" s="24">
        <v>1</v>
      </c>
      <c r="G39" s="24">
        <v>840000</v>
      </c>
      <c r="H39" s="24"/>
      <c r="I39" s="24"/>
      <c r="J39" s="38"/>
    </row>
    <row r="40" spans="1:10" x14ac:dyDescent="0.2">
      <c r="A40" s="4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4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4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4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4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4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45" t="s">
        <v>69</v>
      </c>
      <c r="B46" s="24">
        <v>553</v>
      </c>
      <c r="C46" s="24">
        <v>23605235</v>
      </c>
      <c r="D46" s="24"/>
      <c r="E46" s="24"/>
      <c r="F46" s="24">
        <v>1219</v>
      </c>
      <c r="G46" s="24">
        <v>35978000</v>
      </c>
      <c r="H46" s="24"/>
      <c r="I46" s="24"/>
      <c r="J46" s="38"/>
    </row>
    <row r="47" spans="1:10" x14ac:dyDescent="0.2">
      <c r="A47" s="46" t="s">
        <v>73</v>
      </c>
      <c r="B47" s="25">
        <f>SUM(B39:B46)</f>
        <v>553</v>
      </c>
      <c r="C47" s="25">
        <f t="shared" ref="C47:I47" si="3">SUM(C39:C46)</f>
        <v>23605235</v>
      </c>
      <c r="D47" s="25">
        <f t="shared" si="3"/>
        <v>0</v>
      </c>
      <c r="E47" s="25">
        <f t="shared" si="3"/>
        <v>0</v>
      </c>
      <c r="F47" s="25">
        <f t="shared" si="3"/>
        <v>1220</v>
      </c>
      <c r="G47" s="25">
        <f t="shared" si="3"/>
        <v>36818000</v>
      </c>
      <c r="H47" s="25">
        <f t="shared" si="3"/>
        <v>0</v>
      </c>
      <c r="I47" s="25">
        <f t="shared" si="3"/>
        <v>0</v>
      </c>
      <c r="J47" s="39" t="str">
        <f>IF(SUM(J39:J46)=0,"",SUM(J39:J46)/COUNT(J39:J46))</f>
        <v/>
      </c>
    </row>
    <row r="48" spans="1:10" x14ac:dyDescent="0.2">
      <c r="A48" s="45" t="s">
        <v>58</v>
      </c>
      <c r="B48" s="24"/>
      <c r="C48" s="24"/>
      <c r="D48" s="24"/>
      <c r="E48" s="24"/>
      <c r="F48" s="24"/>
      <c r="G48" s="24"/>
      <c r="H48" s="24"/>
      <c r="I48" s="24"/>
      <c r="J48" s="38"/>
    </row>
    <row r="49" spans="1:10" ht="24" x14ac:dyDescent="0.2">
      <c r="A49" s="4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4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4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46" t="s">
        <v>73</v>
      </c>
      <c r="B52" s="25">
        <f t="shared" ref="B52:I52" si="4">SUM(B48:B49)</f>
        <v>0</v>
      </c>
      <c r="C52" s="25">
        <f t="shared" si="4"/>
        <v>0</v>
      </c>
      <c r="D52" s="25">
        <f t="shared" si="4"/>
        <v>0</v>
      </c>
      <c r="E52" s="25">
        <f t="shared" si="4"/>
        <v>0</v>
      </c>
      <c r="F52" s="25">
        <f t="shared" si="4"/>
        <v>0</v>
      </c>
      <c r="G52" s="25">
        <f t="shared" si="4"/>
        <v>0</v>
      </c>
      <c r="H52" s="25">
        <f t="shared" si="4"/>
        <v>0</v>
      </c>
      <c r="I52" s="25">
        <f t="shared" si="4"/>
        <v>0</v>
      </c>
      <c r="J52" s="39" t="str">
        <f>IF(SUM(J48:J49)=0,"",SUM(J48:J49)/COUNT(J48:J49))</f>
        <v/>
      </c>
    </row>
    <row r="53" spans="1:10" x14ac:dyDescent="0.2">
      <c r="A53" s="4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46" t="s">
        <v>73</v>
      </c>
      <c r="B54" s="25">
        <f>SUM(B53)</f>
        <v>0</v>
      </c>
      <c r="C54" s="25">
        <f t="shared" ref="C54:I54" si="5">SUM(C53)</f>
        <v>0</v>
      </c>
      <c r="D54" s="25">
        <f t="shared" si="5"/>
        <v>0</v>
      </c>
      <c r="E54" s="25">
        <f t="shared" si="5"/>
        <v>0</v>
      </c>
      <c r="F54" s="25">
        <f t="shared" si="5"/>
        <v>0</v>
      </c>
      <c r="G54" s="25">
        <f t="shared" si="5"/>
        <v>0</v>
      </c>
      <c r="H54" s="25">
        <f t="shared" si="5"/>
        <v>0</v>
      </c>
      <c r="I54" s="25">
        <f t="shared" si="5"/>
        <v>0</v>
      </c>
      <c r="J54" s="39" t="str">
        <f>IF(SUM(J53)=0,"",SUM(J53)/COUNT(J53))</f>
        <v/>
      </c>
    </row>
    <row r="55" spans="1:10" x14ac:dyDescent="0.2">
      <c r="A55" s="4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46" t="s">
        <v>73</v>
      </c>
      <c r="B56" s="25">
        <f>SUM(B55)</f>
        <v>0</v>
      </c>
      <c r="C56" s="25">
        <f t="shared" ref="C56:I56" si="6">SUM(C55)</f>
        <v>0</v>
      </c>
      <c r="D56" s="25">
        <f t="shared" si="6"/>
        <v>0</v>
      </c>
      <c r="E56" s="25">
        <f t="shared" si="6"/>
        <v>0</v>
      </c>
      <c r="F56" s="25">
        <f t="shared" si="6"/>
        <v>0</v>
      </c>
      <c r="G56" s="25">
        <f t="shared" si="6"/>
        <v>0</v>
      </c>
      <c r="H56" s="25">
        <f t="shared" si="6"/>
        <v>0</v>
      </c>
      <c r="I56" s="25">
        <f t="shared" si="6"/>
        <v>0</v>
      </c>
      <c r="J56" s="39" t="str">
        <f>IF(SUM(J55)=0,"",SUM(J55)/COUNT(J55))</f>
        <v/>
      </c>
    </row>
    <row r="57" spans="1:10" x14ac:dyDescent="0.2">
      <c r="A57" s="4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46" t="s">
        <v>73</v>
      </c>
      <c r="B58" s="25">
        <f>SUM(B57)</f>
        <v>0</v>
      </c>
      <c r="C58" s="25">
        <f t="shared" ref="C58:I58" si="7">SUM(C57)</f>
        <v>0</v>
      </c>
      <c r="D58" s="25">
        <f t="shared" si="7"/>
        <v>0</v>
      </c>
      <c r="E58" s="25">
        <f t="shared" si="7"/>
        <v>0</v>
      </c>
      <c r="F58" s="25">
        <f t="shared" si="7"/>
        <v>0</v>
      </c>
      <c r="G58" s="25">
        <f t="shared" si="7"/>
        <v>0</v>
      </c>
      <c r="H58" s="25">
        <f t="shared" si="7"/>
        <v>0</v>
      </c>
      <c r="I58" s="25">
        <f t="shared" si="7"/>
        <v>0</v>
      </c>
      <c r="J58" s="39" t="str">
        <f>IF(SUM(J57)=0,"",SUM(J57)/COUNT(J57))</f>
        <v/>
      </c>
    </row>
    <row r="59" spans="1:10" x14ac:dyDescent="0.2">
      <c r="A59" s="4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46" t="s">
        <v>73</v>
      </c>
      <c r="B60" s="25">
        <f>SUM(B59)</f>
        <v>0</v>
      </c>
      <c r="C60" s="25">
        <f t="shared" ref="C60:I60" si="8">SUM(C59)</f>
        <v>0</v>
      </c>
      <c r="D60" s="25">
        <f t="shared" si="8"/>
        <v>0</v>
      </c>
      <c r="E60" s="25">
        <f t="shared" si="8"/>
        <v>0</v>
      </c>
      <c r="F60" s="25">
        <f t="shared" si="8"/>
        <v>0</v>
      </c>
      <c r="G60" s="25">
        <f t="shared" si="8"/>
        <v>0</v>
      </c>
      <c r="H60" s="25">
        <f t="shared" si="8"/>
        <v>0</v>
      </c>
      <c r="I60" s="25">
        <f t="shared" si="8"/>
        <v>0</v>
      </c>
      <c r="J60" s="39" t="str">
        <f>IF(SUM(J59)=0,"",SUM(J59)/COUNT(J59))</f>
        <v/>
      </c>
    </row>
    <row r="61" spans="1:10" x14ac:dyDescent="0.2">
      <c r="A61" s="4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46" t="s">
        <v>73</v>
      </c>
      <c r="B62" s="25">
        <f t="shared" ref="B62:I62" si="9">SUM(B61)</f>
        <v>0</v>
      </c>
      <c r="C62" s="25">
        <f t="shared" si="9"/>
        <v>0</v>
      </c>
      <c r="D62" s="25">
        <f t="shared" si="9"/>
        <v>0</v>
      </c>
      <c r="E62" s="25">
        <f t="shared" si="9"/>
        <v>0</v>
      </c>
      <c r="F62" s="25">
        <f t="shared" si="9"/>
        <v>0</v>
      </c>
      <c r="G62" s="25">
        <f t="shared" si="9"/>
        <v>0</v>
      </c>
      <c r="H62" s="25">
        <f t="shared" si="9"/>
        <v>0</v>
      </c>
      <c r="I62" s="25">
        <f t="shared" si="9"/>
        <v>0</v>
      </c>
      <c r="J62" s="39" t="str">
        <f>IF(SUM(J61)=0,"",SUM(J61)/COUNT(J61))</f>
        <v/>
      </c>
    </row>
    <row r="63" spans="1:10" ht="13.5" thickBot="1" x14ac:dyDescent="0.25">
      <c r="A63" s="47" t="s">
        <v>61</v>
      </c>
      <c r="B63" s="40">
        <f t="shared" ref="B63:I63" si="10">SUM(B56,B54,B52,B47,B38,B31,B17,B58,B60,B62)</f>
        <v>574</v>
      </c>
      <c r="C63" s="40">
        <f t="shared" si="10"/>
        <v>56295235</v>
      </c>
      <c r="D63" s="40">
        <f t="shared" si="10"/>
        <v>0</v>
      </c>
      <c r="E63" s="40">
        <f t="shared" si="10"/>
        <v>0</v>
      </c>
      <c r="F63" s="40">
        <f t="shared" si="10"/>
        <v>2425</v>
      </c>
      <c r="G63" s="40">
        <f t="shared" si="10"/>
        <v>83410000</v>
      </c>
      <c r="H63" s="40">
        <f t="shared" si="10"/>
        <v>0</v>
      </c>
      <c r="I63" s="40">
        <f t="shared" si="10"/>
        <v>0</v>
      </c>
      <c r="J63" s="43"/>
    </row>
  </sheetData>
  <phoneticPr fontId="2"/>
  <pageMargins left="0.7" right="0.7" top="0.75" bottom="0.75" header="0.3" footer="0.3"/>
  <pageSetup paperSize="9" scale="85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8CF5D-3599-4334-BA18-D57C814EE586}">
  <sheetPr>
    <pageSetUpPr fitToPage="1"/>
  </sheetPr>
  <dimension ref="A1:J63"/>
  <sheetViews>
    <sheetView workbookViewId="0">
      <selection activeCell="D4" sqref="D4"/>
    </sheetView>
  </sheetViews>
  <sheetFormatPr defaultRowHeight="13" x14ac:dyDescent="0.2"/>
  <cols>
    <col min="1" max="1" width="15.81640625" style="33" customWidth="1"/>
    <col min="2" max="2" width="9.08984375" style="7"/>
    <col min="3" max="3" width="12.08984375" style="7" bestFit="1" customWidth="1"/>
    <col min="4" max="4" width="7.453125" style="7" customWidth="1"/>
    <col min="5" max="5" width="11" style="7" bestFit="1" customWidth="1"/>
    <col min="6" max="6" width="8.08984375" style="7" customWidth="1"/>
    <col min="7" max="8" width="11" style="7" bestFit="1" customWidth="1"/>
    <col min="9" max="9" width="10.7265625" style="7" customWidth="1"/>
    <col min="10" max="10" width="8.08984375" style="8" customWidth="1"/>
  </cols>
  <sheetData>
    <row r="1" spans="1:10" x14ac:dyDescent="0.2">
      <c r="A1" s="33" t="s">
        <v>0</v>
      </c>
      <c r="B1" s="6" t="s">
        <v>142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>
        <v>11</v>
      </c>
      <c r="C5" s="24">
        <v>3900000</v>
      </c>
      <c r="D5" s="24"/>
      <c r="E5" s="24">
        <v>2903000</v>
      </c>
      <c r="F5" s="24"/>
      <c r="G5" s="24">
        <v>5620000</v>
      </c>
      <c r="H5" s="24">
        <v>2900000</v>
      </c>
      <c r="I5" s="24">
        <v>540000</v>
      </c>
      <c r="J5" s="38">
        <v>9.4500000000000001E-2</v>
      </c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11</v>
      </c>
      <c r="C17" s="25">
        <v>3900000</v>
      </c>
      <c r="D17" s="25">
        <v>0</v>
      </c>
      <c r="E17" s="25">
        <v>2903000</v>
      </c>
      <c r="F17" s="25">
        <v>0</v>
      </c>
      <c r="G17" s="25">
        <v>5620000</v>
      </c>
      <c r="H17" s="25">
        <v>2900000</v>
      </c>
      <c r="I17" s="25">
        <v>540000</v>
      </c>
      <c r="J17" s="39">
        <v>9.4500000000000001E-2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3750</v>
      </c>
      <c r="C25" s="24">
        <v>62220000</v>
      </c>
      <c r="D25" s="24"/>
      <c r="E25" s="24">
        <v>18422000</v>
      </c>
      <c r="F25" s="24"/>
      <c r="G25" s="24">
        <v>58337000</v>
      </c>
      <c r="H25" s="24">
        <v>38500000</v>
      </c>
      <c r="I25" s="24">
        <v>3273000</v>
      </c>
      <c r="J25" s="38">
        <v>8.5000000000000006E-2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3750</v>
      </c>
      <c r="C31" s="25">
        <v>62220000</v>
      </c>
      <c r="D31" s="25">
        <v>0</v>
      </c>
      <c r="E31" s="25">
        <v>18422000</v>
      </c>
      <c r="F31" s="25">
        <v>0</v>
      </c>
      <c r="G31" s="25">
        <v>58337000</v>
      </c>
      <c r="H31" s="25">
        <v>38500000</v>
      </c>
      <c r="I31" s="25">
        <v>3273000</v>
      </c>
      <c r="J31" s="39">
        <v>8.5000000000000006E-2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>
        <v>10</v>
      </c>
      <c r="C36" s="24">
        <v>19000000</v>
      </c>
      <c r="D36" s="24"/>
      <c r="E36" s="24">
        <v>8975000</v>
      </c>
      <c r="F36" s="24"/>
      <c r="G36" s="24">
        <v>37422000</v>
      </c>
      <c r="H36" s="24">
        <v>17000000</v>
      </c>
      <c r="I36" s="24">
        <v>2825000</v>
      </c>
      <c r="J36" s="38">
        <v>8.7499999999999994E-2</v>
      </c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10</v>
      </c>
      <c r="C38" s="25">
        <v>19000000</v>
      </c>
      <c r="D38" s="25">
        <v>0</v>
      </c>
      <c r="E38" s="25">
        <v>8975000</v>
      </c>
      <c r="F38" s="25">
        <v>0</v>
      </c>
      <c r="G38" s="25">
        <v>37422000</v>
      </c>
      <c r="H38" s="25">
        <v>17000000</v>
      </c>
      <c r="I38" s="25">
        <v>2825000</v>
      </c>
      <c r="J38" s="39">
        <v>8.7499999999999994E-2</v>
      </c>
    </row>
    <row r="39" spans="1:10" ht="24" x14ac:dyDescent="0.2">
      <c r="A39" s="35" t="s">
        <v>87</v>
      </c>
      <c r="B39" s="24">
        <v>12</v>
      </c>
      <c r="C39" s="24">
        <v>12000000</v>
      </c>
      <c r="D39" s="24"/>
      <c r="E39" s="24">
        <v>899000</v>
      </c>
      <c r="F39" s="24"/>
      <c r="G39" s="24">
        <v>11941000</v>
      </c>
      <c r="H39" s="24">
        <v>10500000</v>
      </c>
      <c r="I39" s="24">
        <v>966000</v>
      </c>
      <c r="J39" s="38">
        <v>9.1999999999999998E-2</v>
      </c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>
        <v>2840</v>
      </c>
      <c r="C46" s="24">
        <v>142000000</v>
      </c>
      <c r="D46" s="24"/>
      <c r="E46" s="24">
        <v>87209000</v>
      </c>
      <c r="F46" s="24"/>
      <c r="G46" s="24">
        <v>90769000</v>
      </c>
      <c r="H46" s="24">
        <v>63000000</v>
      </c>
      <c r="I46" s="24">
        <v>7560000</v>
      </c>
      <c r="J46" s="38">
        <v>0.12</v>
      </c>
    </row>
    <row r="47" spans="1:10" x14ac:dyDescent="0.2">
      <c r="A47" s="36" t="s">
        <v>73</v>
      </c>
      <c r="B47" s="25">
        <v>2852</v>
      </c>
      <c r="C47" s="25">
        <v>154000000</v>
      </c>
      <c r="D47" s="25">
        <v>0</v>
      </c>
      <c r="E47" s="25">
        <v>88108000</v>
      </c>
      <c r="F47" s="25">
        <v>0</v>
      </c>
      <c r="G47" s="25">
        <v>102710000</v>
      </c>
      <c r="H47" s="25">
        <v>73500000</v>
      </c>
      <c r="I47" s="25">
        <v>8526000</v>
      </c>
      <c r="J47" s="39">
        <v>0.106</v>
      </c>
    </row>
    <row r="48" spans="1:10" x14ac:dyDescent="0.2">
      <c r="A48" s="35" t="s">
        <v>58</v>
      </c>
      <c r="B48" s="24"/>
      <c r="C48" s="24"/>
      <c r="D48" s="24"/>
      <c r="E48" s="24"/>
      <c r="F48" s="24"/>
      <c r="G48" s="24"/>
      <c r="H48" s="24"/>
      <c r="I48" s="24"/>
      <c r="J48" s="38"/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39" t="s">
        <v>184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6623</v>
      </c>
      <c r="C63" s="40">
        <v>239120000</v>
      </c>
      <c r="D63" s="40">
        <v>0</v>
      </c>
      <c r="E63" s="40">
        <v>118408000</v>
      </c>
      <c r="F63" s="40">
        <v>0</v>
      </c>
      <c r="G63" s="40">
        <v>204089000</v>
      </c>
      <c r="H63" s="40">
        <v>131900000</v>
      </c>
      <c r="I63" s="40">
        <v>15164000</v>
      </c>
      <c r="J63" s="41">
        <v>0.11496588324488248</v>
      </c>
    </row>
  </sheetData>
  <phoneticPr fontId="2"/>
  <pageMargins left="0.7" right="0.7" top="0.75" bottom="0.75" header="0.3" footer="0.3"/>
  <pageSetup paperSize="9" scale="84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92A20-6477-476F-AFA5-23611E1609F9}">
  <sheetPr>
    <pageSetUpPr fitToPage="1"/>
  </sheetPr>
  <dimension ref="A1:J63"/>
  <sheetViews>
    <sheetView workbookViewId="0">
      <selection activeCell="D9" sqref="D9"/>
    </sheetView>
  </sheetViews>
  <sheetFormatPr defaultRowHeight="13" x14ac:dyDescent="0.2"/>
  <cols>
    <col min="1" max="1" width="15.81640625" style="33" customWidth="1"/>
    <col min="2" max="2" width="9.08984375" style="7"/>
    <col min="3" max="3" width="11" style="7" bestFit="1" customWidth="1"/>
    <col min="4" max="4" width="6.54296875" style="7" customWidth="1"/>
    <col min="5" max="5" width="11" style="7" bestFit="1" customWidth="1"/>
    <col min="6" max="6" width="7.54296875" style="7" customWidth="1"/>
    <col min="7" max="8" width="11" style="7" bestFit="1" customWidth="1"/>
    <col min="9" max="9" width="9.90625" style="7" bestFit="1" customWidth="1"/>
    <col min="10" max="10" width="7.54296875" style="8" customWidth="1"/>
  </cols>
  <sheetData>
    <row r="1" spans="1:10" x14ac:dyDescent="0.2">
      <c r="A1" s="33" t="s">
        <v>0</v>
      </c>
      <c r="B1" s="6" t="s">
        <v>143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>
        <v>7</v>
      </c>
      <c r="C5" s="24">
        <v>4800000</v>
      </c>
      <c r="D5" s="24"/>
      <c r="E5" s="24">
        <v>6126100</v>
      </c>
      <c r="F5" s="24">
        <v>15</v>
      </c>
      <c r="G5" s="24">
        <v>3297500</v>
      </c>
      <c r="H5" s="24">
        <v>4628917</v>
      </c>
      <c r="I5" s="24">
        <v>527000</v>
      </c>
      <c r="J5" s="38"/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7</v>
      </c>
      <c r="C17" s="25">
        <v>4800000</v>
      </c>
      <c r="D17" s="25">
        <v>0</v>
      </c>
      <c r="E17" s="25">
        <v>6126100</v>
      </c>
      <c r="F17" s="25">
        <v>15</v>
      </c>
      <c r="G17" s="25">
        <v>3297500</v>
      </c>
      <c r="H17" s="25">
        <v>4628917</v>
      </c>
      <c r="I17" s="25">
        <v>527000</v>
      </c>
      <c r="J17" s="39" t="s">
        <v>184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1874</v>
      </c>
      <c r="C25" s="24">
        <v>30165211</v>
      </c>
      <c r="D25" s="24"/>
      <c r="E25" s="24">
        <v>27979884</v>
      </c>
      <c r="F25" s="24">
        <v>1915</v>
      </c>
      <c r="G25" s="24">
        <v>16724564</v>
      </c>
      <c r="H25" s="24">
        <v>16205937</v>
      </c>
      <c r="I25" s="24">
        <v>2566000</v>
      </c>
      <c r="J25" s="38"/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1874</v>
      </c>
      <c r="C31" s="25">
        <v>30165211</v>
      </c>
      <c r="D31" s="25">
        <v>0</v>
      </c>
      <c r="E31" s="25">
        <v>27979884</v>
      </c>
      <c r="F31" s="25">
        <v>1915</v>
      </c>
      <c r="G31" s="25">
        <v>16724564</v>
      </c>
      <c r="H31" s="25">
        <v>16205937</v>
      </c>
      <c r="I31" s="25">
        <v>2566000</v>
      </c>
      <c r="J31" s="39" t="s">
        <v>184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>
        <v>4</v>
      </c>
      <c r="C36" s="24">
        <v>10698500</v>
      </c>
      <c r="D36" s="24"/>
      <c r="E36" s="24">
        <v>8086943</v>
      </c>
      <c r="F36" s="24">
        <v>14</v>
      </c>
      <c r="G36" s="24">
        <v>30009321</v>
      </c>
      <c r="H36" s="24">
        <v>25150800</v>
      </c>
      <c r="I36" s="24">
        <v>2073000</v>
      </c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4</v>
      </c>
      <c r="C38" s="25">
        <v>10698500</v>
      </c>
      <c r="D38" s="25">
        <v>0</v>
      </c>
      <c r="E38" s="25">
        <v>8086943</v>
      </c>
      <c r="F38" s="25">
        <v>14</v>
      </c>
      <c r="G38" s="25">
        <v>30009321</v>
      </c>
      <c r="H38" s="25">
        <v>25150800</v>
      </c>
      <c r="I38" s="25">
        <v>2073000</v>
      </c>
      <c r="J38" s="39" t="s">
        <v>184</v>
      </c>
    </row>
    <row r="39" spans="1:10" ht="24" x14ac:dyDescent="0.2">
      <c r="A39" s="35" t="s">
        <v>87</v>
      </c>
      <c r="B39" s="24">
        <v>1</v>
      </c>
      <c r="C39" s="24">
        <v>600000</v>
      </c>
      <c r="D39" s="24"/>
      <c r="E39" s="24">
        <v>142796</v>
      </c>
      <c r="F39" s="24">
        <v>2</v>
      </c>
      <c r="G39" s="24">
        <v>1297204</v>
      </c>
      <c r="H39" s="24">
        <v>1359931</v>
      </c>
      <c r="I39" s="24">
        <v>136000</v>
      </c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>
        <v>907</v>
      </c>
      <c r="C46" s="24">
        <v>45262756</v>
      </c>
      <c r="D46" s="24"/>
      <c r="E46" s="24">
        <v>59625500</v>
      </c>
      <c r="F46" s="24">
        <v>1741</v>
      </c>
      <c r="G46" s="24">
        <v>21615682</v>
      </c>
      <c r="H46" s="24">
        <v>29737534</v>
      </c>
      <c r="I46" s="24">
        <v>3607000</v>
      </c>
      <c r="J46" s="38"/>
    </row>
    <row r="47" spans="1:10" x14ac:dyDescent="0.2">
      <c r="A47" s="36" t="s">
        <v>73</v>
      </c>
      <c r="B47" s="25">
        <v>908</v>
      </c>
      <c r="C47" s="25">
        <v>45862756</v>
      </c>
      <c r="D47" s="25">
        <v>0</v>
      </c>
      <c r="E47" s="25">
        <v>59768296</v>
      </c>
      <c r="F47" s="25">
        <v>1743</v>
      </c>
      <c r="G47" s="25">
        <v>22912886</v>
      </c>
      <c r="H47" s="25">
        <v>31097465</v>
      </c>
      <c r="I47" s="25">
        <v>3743000</v>
      </c>
      <c r="J47" s="39" t="s">
        <v>184</v>
      </c>
    </row>
    <row r="48" spans="1:10" x14ac:dyDescent="0.2">
      <c r="A48" s="35" t="s">
        <v>58</v>
      </c>
      <c r="B48" s="24"/>
      <c r="C48" s="24"/>
      <c r="D48" s="24"/>
      <c r="E48" s="24"/>
      <c r="F48" s="24"/>
      <c r="G48" s="24"/>
      <c r="H48" s="24"/>
      <c r="I48" s="24"/>
      <c r="J48" s="38"/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39" t="s">
        <v>184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>
        <v>1</v>
      </c>
      <c r="C55" s="24">
        <v>1500000</v>
      </c>
      <c r="D55" s="24"/>
      <c r="E55" s="24">
        <v>1500000</v>
      </c>
      <c r="F55" s="24"/>
      <c r="G55" s="24"/>
      <c r="H55" s="24">
        <v>250000</v>
      </c>
      <c r="I55" s="24">
        <v>126000</v>
      </c>
      <c r="J55" s="38"/>
    </row>
    <row r="56" spans="1:10" x14ac:dyDescent="0.2">
      <c r="A56" s="36" t="s">
        <v>73</v>
      </c>
      <c r="B56" s="25">
        <v>1</v>
      </c>
      <c r="C56" s="25">
        <v>1500000</v>
      </c>
      <c r="D56" s="25">
        <v>0</v>
      </c>
      <c r="E56" s="25">
        <v>1500000</v>
      </c>
      <c r="F56" s="25">
        <v>0</v>
      </c>
      <c r="G56" s="25">
        <v>0</v>
      </c>
      <c r="H56" s="25">
        <v>250000</v>
      </c>
      <c r="I56" s="25">
        <v>126000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2794</v>
      </c>
      <c r="C63" s="40">
        <v>93026467</v>
      </c>
      <c r="D63" s="40">
        <v>0</v>
      </c>
      <c r="E63" s="40">
        <v>103461223</v>
      </c>
      <c r="F63" s="40">
        <v>3687</v>
      </c>
      <c r="G63" s="40">
        <v>72944271</v>
      </c>
      <c r="H63" s="40">
        <v>77333119</v>
      </c>
      <c r="I63" s="40">
        <v>9035000</v>
      </c>
      <c r="J63" s="43"/>
    </row>
  </sheetData>
  <phoneticPr fontId="2"/>
  <pageMargins left="0.7" right="0.7" top="0.75" bottom="0.75" header="0.3" footer="0.3"/>
  <pageSetup paperSize="9" scale="87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C8FC5-56D0-407F-AE5D-CD1FA909AA6D}">
  <sheetPr>
    <pageSetUpPr fitToPage="1"/>
  </sheetPr>
  <dimension ref="A1:J63"/>
  <sheetViews>
    <sheetView topLeftCell="A4" workbookViewId="0">
      <selection activeCell="E1" sqref="E1"/>
    </sheetView>
  </sheetViews>
  <sheetFormatPr defaultRowHeight="13" x14ac:dyDescent="0.2"/>
  <cols>
    <col min="1" max="1" width="15.81640625" style="33" customWidth="1"/>
    <col min="2" max="2" width="9.08984375" style="7"/>
    <col min="3" max="3" width="11" style="7" bestFit="1" customWidth="1"/>
    <col min="4" max="4" width="9.08984375" style="7"/>
    <col min="5" max="5" width="11" style="7" bestFit="1" customWidth="1"/>
    <col min="6" max="6" width="9.08984375" style="7"/>
    <col min="7" max="8" width="11" style="7" bestFit="1" customWidth="1"/>
    <col min="9" max="9" width="9.90625" style="7" bestFit="1" customWidth="1"/>
    <col min="10" max="10" width="6.81640625" style="8" customWidth="1"/>
  </cols>
  <sheetData>
    <row r="1" spans="1:10" x14ac:dyDescent="0.2">
      <c r="A1" s="33" t="s">
        <v>0</v>
      </c>
      <c r="B1" s="6" t="s">
        <v>144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>
        <v>10</v>
      </c>
      <c r="C5" s="24">
        <v>3350000</v>
      </c>
      <c r="D5" s="24"/>
      <c r="E5" s="24">
        <v>4213000</v>
      </c>
      <c r="F5" s="24">
        <v>14</v>
      </c>
      <c r="G5" s="24">
        <v>2434500</v>
      </c>
      <c r="H5" s="24">
        <v>3236008</v>
      </c>
      <c r="I5" s="24">
        <v>416000</v>
      </c>
      <c r="J5" s="38"/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10</v>
      </c>
      <c r="C17" s="25">
        <v>3350000</v>
      </c>
      <c r="D17" s="25">
        <v>0</v>
      </c>
      <c r="E17" s="25">
        <v>4213000</v>
      </c>
      <c r="F17" s="25">
        <v>14</v>
      </c>
      <c r="G17" s="25">
        <v>2434500</v>
      </c>
      <c r="H17" s="25">
        <v>3236008</v>
      </c>
      <c r="I17" s="25">
        <v>416000</v>
      </c>
      <c r="J17" s="39" t="s">
        <v>184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/>
      <c r="C25" s="24">
        <v>41344553</v>
      </c>
      <c r="D25" s="24"/>
      <c r="E25" s="24">
        <v>39197174</v>
      </c>
      <c r="F25" s="24">
        <v>2202</v>
      </c>
      <c r="G25" s="24">
        <v>18871943</v>
      </c>
      <c r="H25" s="24">
        <v>17821945</v>
      </c>
      <c r="I25" s="24">
        <v>1941000</v>
      </c>
      <c r="J25" s="38"/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0</v>
      </c>
      <c r="C31" s="25">
        <v>41344553</v>
      </c>
      <c r="D31" s="25">
        <v>0</v>
      </c>
      <c r="E31" s="25">
        <v>39197174</v>
      </c>
      <c r="F31" s="25">
        <v>2202</v>
      </c>
      <c r="G31" s="25">
        <v>18871943</v>
      </c>
      <c r="H31" s="25">
        <v>17821945</v>
      </c>
      <c r="I31" s="25">
        <v>1941000</v>
      </c>
      <c r="J31" s="39" t="s">
        <v>184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>
        <v>9</v>
      </c>
      <c r="C36" s="24">
        <v>21950000</v>
      </c>
      <c r="D36" s="24"/>
      <c r="E36" s="24">
        <v>23443198</v>
      </c>
      <c r="F36" s="24">
        <v>17</v>
      </c>
      <c r="G36" s="24">
        <v>28516123</v>
      </c>
      <c r="H36" s="24">
        <v>25700791</v>
      </c>
      <c r="I36" s="24">
        <v>6273000</v>
      </c>
      <c r="J36" s="38"/>
    </row>
    <row r="37" spans="1:10" x14ac:dyDescent="0.2">
      <c r="A37" s="35" t="s">
        <v>82</v>
      </c>
      <c r="B37" s="24">
        <v>1</v>
      </c>
      <c r="C37" s="24">
        <v>6000000</v>
      </c>
      <c r="D37" s="24"/>
      <c r="E37" s="24">
        <v>195824</v>
      </c>
      <c r="F37" s="24">
        <v>1</v>
      </c>
      <c r="G37" s="24">
        <v>5804176</v>
      </c>
      <c r="H37" s="24">
        <v>5902657</v>
      </c>
      <c r="I37" s="24">
        <v>249000</v>
      </c>
      <c r="J37" s="38"/>
    </row>
    <row r="38" spans="1:10" x14ac:dyDescent="0.2">
      <c r="A38" s="36" t="s">
        <v>73</v>
      </c>
      <c r="B38" s="25">
        <v>10</v>
      </c>
      <c r="C38" s="25">
        <v>27950000</v>
      </c>
      <c r="D38" s="25">
        <v>0</v>
      </c>
      <c r="E38" s="25">
        <v>23639022</v>
      </c>
      <c r="F38" s="25">
        <v>18</v>
      </c>
      <c r="G38" s="25">
        <v>34320299</v>
      </c>
      <c r="H38" s="25">
        <v>31603448</v>
      </c>
      <c r="I38" s="25">
        <v>6522000</v>
      </c>
      <c r="J38" s="39" t="s">
        <v>184</v>
      </c>
    </row>
    <row r="39" spans="1:10" ht="24" x14ac:dyDescent="0.2">
      <c r="A39" s="35" t="s">
        <v>87</v>
      </c>
      <c r="B39" s="24">
        <v>1</v>
      </c>
      <c r="C39" s="24">
        <v>1800000</v>
      </c>
      <c r="D39" s="24"/>
      <c r="E39" s="24">
        <v>181103</v>
      </c>
      <c r="F39" s="24">
        <v>3</v>
      </c>
      <c r="G39" s="24">
        <v>2916101</v>
      </c>
      <c r="H39" s="24">
        <v>17821945</v>
      </c>
      <c r="I39" s="24">
        <v>175000</v>
      </c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>
        <v>168</v>
      </c>
      <c r="C46" s="24">
        <v>14167195</v>
      </c>
      <c r="D46" s="24"/>
      <c r="E46" s="24">
        <v>18293856</v>
      </c>
      <c r="F46" s="24">
        <v>1689</v>
      </c>
      <c r="G46" s="24">
        <v>17489021</v>
      </c>
      <c r="H46" s="24">
        <v>20843436</v>
      </c>
      <c r="I46" s="24">
        <v>308000</v>
      </c>
      <c r="J46" s="38"/>
    </row>
    <row r="47" spans="1:10" x14ac:dyDescent="0.2">
      <c r="A47" s="36" t="s">
        <v>73</v>
      </c>
      <c r="B47" s="25">
        <v>169</v>
      </c>
      <c r="C47" s="25">
        <v>15967195</v>
      </c>
      <c r="D47" s="25">
        <v>0</v>
      </c>
      <c r="E47" s="25">
        <v>18474959</v>
      </c>
      <c r="F47" s="25">
        <v>1692</v>
      </c>
      <c r="G47" s="25">
        <v>20405122</v>
      </c>
      <c r="H47" s="25">
        <v>38665381</v>
      </c>
      <c r="I47" s="25">
        <v>483000</v>
      </c>
      <c r="J47" s="39" t="s">
        <v>184</v>
      </c>
    </row>
    <row r="48" spans="1:10" x14ac:dyDescent="0.2">
      <c r="A48" s="35" t="s">
        <v>58</v>
      </c>
      <c r="B48" s="24"/>
      <c r="C48" s="24"/>
      <c r="D48" s="24"/>
      <c r="E48" s="24"/>
      <c r="F48" s="24"/>
      <c r="G48" s="24"/>
      <c r="H48" s="24"/>
      <c r="I48" s="24"/>
      <c r="J48" s="38"/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39" t="s">
        <v>184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>
        <v>2</v>
      </c>
      <c r="C55" s="24">
        <v>6750000</v>
      </c>
      <c r="D55" s="24"/>
      <c r="E55" s="24">
        <v>5488934</v>
      </c>
      <c r="F55" s="24">
        <v>1</v>
      </c>
      <c r="G55" s="24">
        <v>1261066</v>
      </c>
      <c r="H55" s="24">
        <v>4254640</v>
      </c>
      <c r="I55" s="24">
        <v>294000</v>
      </c>
      <c r="J55" s="38"/>
    </row>
    <row r="56" spans="1:10" x14ac:dyDescent="0.2">
      <c r="A56" s="36" t="s">
        <v>73</v>
      </c>
      <c r="B56" s="25">
        <v>2</v>
      </c>
      <c r="C56" s="25">
        <v>6750000</v>
      </c>
      <c r="D56" s="25">
        <v>0</v>
      </c>
      <c r="E56" s="25">
        <v>5488934</v>
      </c>
      <c r="F56" s="25">
        <v>1</v>
      </c>
      <c r="G56" s="25">
        <v>1261066</v>
      </c>
      <c r="H56" s="25">
        <v>4254640</v>
      </c>
      <c r="I56" s="25">
        <v>294000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191</v>
      </c>
      <c r="C63" s="40">
        <v>95361748</v>
      </c>
      <c r="D63" s="40">
        <v>0</v>
      </c>
      <c r="E63" s="40">
        <v>91013089</v>
      </c>
      <c r="F63" s="40">
        <v>3927</v>
      </c>
      <c r="G63" s="40">
        <v>77292930</v>
      </c>
      <c r="H63" s="40">
        <v>95581422</v>
      </c>
      <c r="I63" s="40">
        <v>9656000</v>
      </c>
      <c r="J63" s="43"/>
    </row>
  </sheetData>
  <phoneticPr fontId="2"/>
  <pageMargins left="0.7" right="0.7" top="0.75" bottom="0.75" header="0.3" footer="0.3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H227"/>
  <sheetViews>
    <sheetView view="pageBreakPreview" zoomScale="80" zoomScaleNormal="100" zoomScaleSheetLayoutView="80" workbookViewId="0">
      <pane xSplit="1" ySplit="3" topLeftCell="GS44" activePane="bottomRight" state="frozen"/>
      <selection pane="topRight" activeCell="B1" sqref="B1"/>
      <selection pane="bottomLeft" activeCell="A4" sqref="A4"/>
      <selection pane="bottomRight" activeCell="GW62" sqref="GW62"/>
    </sheetView>
  </sheetViews>
  <sheetFormatPr defaultColWidth="9.08984375" defaultRowHeight="12" x14ac:dyDescent="0.2"/>
  <cols>
    <col min="1" max="1" width="15.81640625" style="33" customWidth="1"/>
    <col min="2" max="2" width="5.81640625" style="7" customWidth="1"/>
    <col min="3" max="3" width="11" style="7" bestFit="1" customWidth="1"/>
    <col min="4" max="4" width="5.81640625" style="7" customWidth="1"/>
    <col min="5" max="5" width="11" style="7" bestFit="1" customWidth="1"/>
    <col min="6" max="6" width="8.08984375" style="7" customWidth="1"/>
    <col min="7" max="7" width="11" style="7" bestFit="1" customWidth="1"/>
    <col min="8" max="8" width="8.7265625" style="7" customWidth="1"/>
    <col min="9" max="9" width="10.90625" style="7" customWidth="1"/>
    <col min="10" max="10" width="6.26953125" style="8" customWidth="1"/>
    <col min="11" max="11" width="6.90625" style="7" customWidth="1"/>
    <col min="12" max="12" width="11" style="7" bestFit="1" customWidth="1"/>
    <col min="13" max="13" width="4.26953125" style="7" customWidth="1"/>
    <col min="14" max="14" width="11" style="7" bestFit="1" customWidth="1"/>
    <col min="15" max="15" width="4.90625" style="7" customWidth="1"/>
    <col min="16" max="16" width="11" style="7" bestFit="1" customWidth="1"/>
    <col min="17" max="17" width="10.08984375" style="7" customWidth="1"/>
    <col min="18" max="18" width="11.6328125" style="7" customWidth="1"/>
    <col min="19" max="19" width="6.36328125" style="8" customWidth="1"/>
    <col min="20" max="20" width="9" style="7"/>
    <col min="21" max="21" width="11" style="7" bestFit="1" customWidth="1"/>
    <col min="22" max="22" width="9" style="7"/>
    <col min="23" max="23" width="9.6328125" style="7" customWidth="1"/>
    <col min="24" max="24" width="9" style="7"/>
    <col min="25" max="25" width="7.1796875" style="7" customWidth="1"/>
    <col min="26" max="26" width="9" style="7"/>
    <col min="27" max="27" width="9.90625" style="7" bestFit="1" customWidth="1"/>
    <col min="28" max="28" width="9" style="8"/>
    <col min="29" max="29" width="9" style="7"/>
    <col min="30" max="30" width="11" style="7" bestFit="1" customWidth="1"/>
    <col min="31" max="31" width="9" style="7"/>
    <col min="32" max="32" width="11" style="7" bestFit="1" customWidth="1"/>
    <col min="33" max="33" width="9" style="7"/>
    <col min="34" max="34" width="11" style="7" bestFit="1" customWidth="1"/>
    <col min="35" max="35" width="9" style="7"/>
    <col min="36" max="36" width="9.90625" style="7" bestFit="1" customWidth="1"/>
    <col min="37" max="37" width="9" style="8"/>
    <col min="38" max="38" width="9" style="7"/>
    <col min="39" max="39" width="12.08984375" style="7" bestFit="1" customWidth="1"/>
    <col min="40" max="40" width="7.453125" style="7" customWidth="1"/>
    <col min="41" max="41" width="11" style="7" bestFit="1" customWidth="1"/>
    <col min="42" max="42" width="8.08984375" style="7" customWidth="1"/>
    <col min="43" max="44" width="11" style="7" bestFit="1" customWidth="1"/>
    <col min="45" max="45" width="10.7265625" style="7" customWidth="1"/>
    <col min="46" max="46" width="8.08984375" style="8" customWidth="1"/>
    <col min="47" max="47" width="9" style="7"/>
    <col min="48" max="48" width="11" style="7" bestFit="1" customWidth="1"/>
    <col min="49" max="49" width="6.54296875" style="7" customWidth="1"/>
    <col min="50" max="50" width="11" style="7" bestFit="1" customWidth="1"/>
    <col min="51" max="51" width="7.54296875" style="7" customWidth="1"/>
    <col min="52" max="53" width="11" style="7" bestFit="1" customWidth="1"/>
    <col min="54" max="54" width="9.90625" style="7" bestFit="1" customWidth="1"/>
    <col min="55" max="55" width="7.54296875" style="8" customWidth="1"/>
    <col min="56" max="56" width="9" style="7"/>
    <col min="57" max="57" width="11" style="7" bestFit="1" customWidth="1"/>
    <col min="58" max="58" width="9" style="7"/>
    <col min="59" max="59" width="11" style="7" bestFit="1" customWidth="1"/>
    <col min="60" max="60" width="9" style="7"/>
    <col min="61" max="62" width="11" style="7" bestFit="1" customWidth="1"/>
    <col min="63" max="63" width="9.90625" style="7" bestFit="1" customWidth="1"/>
    <col min="64" max="64" width="6.81640625" style="8" customWidth="1"/>
    <col min="65" max="65" width="9" style="7"/>
    <col min="66" max="66" width="11" style="7" bestFit="1" customWidth="1"/>
    <col min="67" max="67" width="7.26953125" style="7" customWidth="1"/>
    <col min="68" max="68" width="11" style="7" bestFit="1" customWidth="1"/>
    <col min="69" max="69" width="8" style="7" customWidth="1"/>
    <col min="70" max="71" width="11" style="7" bestFit="1" customWidth="1"/>
    <col min="72" max="72" width="10.7265625" style="7" customWidth="1"/>
    <col min="73" max="73" width="6.7265625" style="8" customWidth="1"/>
    <col min="74" max="74" width="9" style="7"/>
    <col min="75" max="75" width="12.08984375" style="7" bestFit="1" customWidth="1"/>
    <col min="76" max="76" width="9" style="7"/>
    <col min="77" max="77" width="11" style="7" bestFit="1" customWidth="1"/>
    <col min="78" max="78" width="9" style="7"/>
    <col min="79" max="79" width="12.08984375" style="7" bestFit="1" customWidth="1"/>
    <col min="80" max="81" width="11" style="7" bestFit="1" customWidth="1"/>
    <col min="82" max="82" width="9" style="8"/>
    <col min="83" max="83" width="9" style="7"/>
    <col min="84" max="84" width="8.08984375" style="7" customWidth="1"/>
    <col min="85" max="85" width="9" style="7"/>
    <col min="86" max="86" width="9.54296875" style="7" customWidth="1"/>
    <col min="87" max="87" width="7.26953125" style="7" customWidth="1"/>
    <col min="88" max="88" width="12.08984375" style="7" bestFit="1" customWidth="1"/>
    <col min="89" max="89" width="9" style="7"/>
    <col min="90" max="90" width="8.7265625" style="7" customWidth="1"/>
    <col min="91" max="91" width="7.1796875" style="8" customWidth="1"/>
    <col min="92" max="92" width="9" style="7"/>
    <col min="93" max="93" width="11" style="7" bestFit="1" customWidth="1"/>
    <col min="94" max="94" width="9" style="7"/>
    <col min="95" max="95" width="11" style="7" bestFit="1" customWidth="1"/>
    <col min="96" max="96" width="9" style="7"/>
    <col min="97" max="97" width="12.08984375" style="7" bestFit="1" customWidth="1"/>
    <col min="98" max="98" width="9" style="7"/>
    <col min="99" max="99" width="9.90625" style="7" bestFit="1" customWidth="1"/>
    <col min="100" max="100" width="9" style="8"/>
    <col min="101" max="101" width="9" style="7"/>
    <col min="102" max="102" width="11" style="7" bestFit="1" customWidth="1"/>
    <col min="103" max="103" width="9" style="7"/>
    <col min="104" max="104" width="8.1796875" style="7" customWidth="1"/>
    <col min="105" max="105" width="9" style="7"/>
    <col min="106" max="106" width="12.08984375" style="7" bestFit="1" customWidth="1"/>
    <col min="107" max="107" width="9" style="7"/>
    <col min="108" max="108" width="8.6328125" style="7" customWidth="1"/>
    <col min="109" max="109" width="6.81640625" style="8" customWidth="1"/>
    <col min="110" max="110" width="7.26953125" style="7" customWidth="1"/>
    <col min="111" max="111" width="11" style="7" bestFit="1" customWidth="1"/>
    <col min="112" max="112" width="6.453125" style="7" customWidth="1"/>
    <col min="113" max="113" width="11" style="7" bestFit="1" customWidth="1"/>
    <col min="114" max="114" width="7.36328125" style="7" customWidth="1"/>
    <col min="115" max="116" width="12.08984375" style="7" bestFit="1" customWidth="1"/>
    <col min="117" max="117" width="11" style="7" bestFit="1" customWidth="1"/>
    <col min="118" max="118" width="7.1796875" style="8" customWidth="1"/>
    <col min="119" max="119" width="7.36328125" style="7" customWidth="1"/>
    <col min="120" max="120" width="11" style="7" bestFit="1" customWidth="1"/>
    <col min="121" max="121" width="7.54296875" style="7" customWidth="1"/>
    <col min="122" max="122" width="12.08984375" style="7" bestFit="1" customWidth="1"/>
    <col min="123" max="123" width="6" style="7" customWidth="1"/>
    <col min="124" max="125" width="12.08984375" style="7" bestFit="1" customWidth="1"/>
    <col min="126" max="126" width="11" style="7" bestFit="1" customWidth="1"/>
    <col min="127" max="127" width="6.90625" style="8" customWidth="1"/>
    <col min="128" max="128" width="7.1796875" style="7" customWidth="1"/>
    <col min="129" max="129" width="12.08984375" style="7" bestFit="1" customWidth="1"/>
    <col min="130" max="130" width="6.36328125" style="7" customWidth="1"/>
    <col min="131" max="131" width="11" style="7" bestFit="1" customWidth="1"/>
    <col min="132" max="132" width="7.26953125" style="7" customWidth="1"/>
    <col min="133" max="134" width="12.08984375" style="7" bestFit="1" customWidth="1"/>
    <col min="135" max="135" width="11" style="7" bestFit="1" customWidth="1"/>
    <col min="136" max="136" width="6.81640625" style="8" customWidth="1"/>
    <col min="137" max="137" width="6.6328125" style="7" customWidth="1"/>
    <col min="138" max="138" width="12.08984375" style="7" bestFit="1" customWidth="1"/>
    <col min="139" max="139" width="7.26953125" style="7" customWidth="1"/>
    <col min="140" max="140" width="12.08984375" style="7" bestFit="1" customWidth="1"/>
    <col min="141" max="141" width="6.453125" style="7" customWidth="1"/>
    <col min="142" max="143" width="12.90625" style="7" customWidth="1"/>
    <col min="144" max="144" width="10.7265625" style="7" customWidth="1"/>
    <col min="145" max="145" width="5.90625" style="8" customWidth="1"/>
    <col min="146" max="146" width="6.54296875" style="7" customWidth="1"/>
    <col min="147" max="147" width="12.08984375" style="7" bestFit="1" customWidth="1"/>
    <col min="148" max="148" width="6.6328125" style="7" customWidth="1"/>
    <col min="149" max="149" width="12.08984375" style="7" bestFit="1" customWidth="1"/>
    <col min="150" max="150" width="9" style="7"/>
    <col min="151" max="151" width="13.26953125" style="7" customWidth="1"/>
    <col min="152" max="152" width="13.7265625" style="7" customWidth="1"/>
    <col min="153" max="153" width="11" style="7" bestFit="1" customWidth="1"/>
    <col min="154" max="154" width="5.81640625" style="8" customWidth="1"/>
    <col min="155" max="155" width="7.36328125" style="7" customWidth="1"/>
    <col min="156" max="156" width="12.08984375" style="7" customWidth="1"/>
    <col min="157" max="157" width="6.36328125" style="7" customWidth="1"/>
    <col min="158" max="158" width="12.08984375" style="7" bestFit="1" customWidth="1"/>
    <col min="159" max="159" width="5.90625" style="7" customWidth="1"/>
    <col min="160" max="160" width="12.36328125" style="7" customWidth="1"/>
    <col min="161" max="161" width="10.7265625" style="7" customWidth="1"/>
    <col min="162" max="162" width="9.54296875" style="7" customWidth="1"/>
    <col min="163" max="163" width="6.90625" style="8" customWidth="1"/>
    <col min="164" max="164" width="5.81640625" style="7" customWidth="1"/>
    <col min="165" max="165" width="13.453125" style="7" customWidth="1"/>
    <col min="166" max="166" width="5.7265625" style="7" customWidth="1"/>
    <col min="167" max="167" width="12.08984375" style="7" bestFit="1" customWidth="1"/>
    <col min="168" max="168" width="6.453125" style="7" customWidth="1"/>
    <col min="169" max="169" width="13.453125" style="7" customWidth="1"/>
    <col min="170" max="170" width="13.26953125" style="7" customWidth="1"/>
    <col min="171" max="171" width="11" style="7" bestFit="1" customWidth="1"/>
    <col min="172" max="172" width="6" style="8" customWidth="1"/>
    <col min="173" max="173" width="6.6328125" style="7" customWidth="1"/>
    <col min="174" max="174" width="14" style="7" customWidth="1"/>
    <col min="175" max="175" width="6" style="7" customWidth="1"/>
    <col min="176" max="176" width="13.08984375" style="7" customWidth="1"/>
    <col min="177" max="177" width="6.26953125" style="7" customWidth="1"/>
    <col min="178" max="178" width="12.26953125" style="7" customWidth="1"/>
    <col min="179" max="179" width="11.08984375" style="7" customWidth="1"/>
    <col min="180" max="180" width="9.7265625" style="7" customWidth="1"/>
    <col min="181" max="181" width="6.36328125" style="8" customWidth="1"/>
    <col min="182" max="182" width="5.81640625" style="7" customWidth="1"/>
    <col min="183" max="183" width="13.26953125" style="7" customWidth="1"/>
    <col min="184" max="184" width="5.54296875" style="7" customWidth="1"/>
    <col min="185" max="185" width="13.6328125" style="7" customWidth="1"/>
    <col min="186" max="186" width="5.7265625" style="7" customWidth="1"/>
    <col min="187" max="187" width="12.36328125" style="7" customWidth="1"/>
    <col min="188" max="188" width="12.6328125" style="7" customWidth="1"/>
    <col min="189" max="189" width="10.90625" style="7" customWidth="1"/>
    <col min="190" max="190" width="6.81640625" style="8" customWidth="1"/>
    <col min="191" max="191" width="5.36328125" style="7" customWidth="1"/>
    <col min="192" max="192" width="13.36328125" style="7" customWidth="1"/>
    <col min="193" max="193" width="5.54296875" style="7" customWidth="1"/>
    <col min="194" max="194" width="14" style="7" customWidth="1"/>
    <col min="195" max="195" width="5.90625" style="7" customWidth="1"/>
    <col min="196" max="196" width="13.6328125" style="7" bestFit="1" customWidth="1"/>
    <col min="197" max="197" width="11.54296875" style="7" customWidth="1"/>
    <col min="198" max="198" width="10.7265625" style="7" customWidth="1"/>
    <col min="199" max="199" width="6.81640625" style="8" customWidth="1"/>
    <col min="200" max="200" width="5.81640625" style="7" customWidth="1"/>
    <col min="201" max="201" width="12" style="7" customWidth="1"/>
    <col min="202" max="202" width="5.81640625" style="7" customWidth="1"/>
    <col min="203" max="203" width="12" style="7" customWidth="1"/>
    <col min="204" max="204" width="6.26953125" style="7" customWidth="1"/>
    <col min="205" max="205" width="12.36328125" style="7" customWidth="1"/>
    <col min="206" max="206" width="11.54296875" style="7" customWidth="1"/>
    <col min="207" max="207" width="12.08984375" style="7" bestFit="1" customWidth="1"/>
    <col min="208" max="208" width="6.81640625" style="8" customWidth="1"/>
    <col min="209" max="209" width="5.7265625" style="7" customWidth="1"/>
    <col min="210" max="210" width="12.36328125" style="7" customWidth="1"/>
    <col min="211" max="211" width="6.6328125" style="7" customWidth="1"/>
    <col min="212" max="212" width="12.7265625" style="7" customWidth="1"/>
    <col min="213" max="213" width="6.36328125" style="7" customWidth="1"/>
    <col min="214" max="215" width="13.6328125" style="7" bestFit="1" customWidth="1"/>
    <col min="216" max="216" width="9.81640625" style="7" customWidth="1"/>
    <col min="217" max="217" width="6.7265625" style="8" customWidth="1"/>
    <col min="218" max="218" width="6" style="7" customWidth="1"/>
    <col min="219" max="219" width="13.6328125" style="7" bestFit="1" customWidth="1"/>
    <col min="220" max="220" width="6.1796875" style="7" customWidth="1"/>
    <col min="221" max="221" width="14.453125" style="7" customWidth="1"/>
    <col min="222" max="222" width="5.90625" style="7" customWidth="1"/>
    <col min="223" max="223" width="11.90625" style="7" customWidth="1"/>
    <col min="224" max="224" width="10.453125" style="7" customWidth="1"/>
    <col min="225" max="225" width="12.08984375" style="7" bestFit="1" customWidth="1"/>
    <col min="226" max="226" width="6.453125" style="8" customWidth="1"/>
    <col min="227" max="227" width="6.26953125" style="7" customWidth="1"/>
    <col min="228" max="228" width="13.26953125" style="7" customWidth="1"/>
    <col min="229" max="229" width="5.81640625" style="7" customWidth="1"/>
    <col min="230" max="230" width="13" style="7" customWidth="1"/>
    <col min="231" max="231" width="5.90625" style="7" customWidth="1"/>
    <col min="232" max="232" width="11.453125" style="7" customWidth="1"/>
    <col min="233" max="233" width="11.81640625" style="7" customWidth="1"/>
    <col min="234" max="234" width="12.08984375" style="7" bestFit="1" customWidth="1"/>
    <col min="235" max="235" width="6.81640625" style="8" customWidth="1"/>
    <col min="236" max="236" width="5.08984375" style="7" customWidth="1"/>
    <col min="237" max="237" width="14.36328125" style="7" customWidth="1"/>
    <col min="238" max="238" width="5.7265625" style="7" customWidth="1"/>
    <col min="239" max="239" width="11.6328125" style="7" customWidth="1"/>
    <col min="240" max="240" width="5.81640625" style="7" customWidth="1"/>
    <col min="241" max="241" width="11.81640625" style="7" customWidth="1"/>
    <col min="242" max="242" width="13.6328125" style="7" bestFit="1" customWidth="1"/>
    <col min="243" max="243" width="12.08984375" style="7" bestFit="1" customWidth="1"/>
    <col min="244" max="244" width="6.36328125" style="8" customWidth="1"/>
    <col min="245" max="245" width="5.453125" style="7" customWidth="1"/>
    <col min="246" max="246" width="12.453125" style="7" customWidth="1"/>
    <col min="247" max="247" width="5.7265625" style="7" customWidth="1"/>
    <col min="248" max="248" width="10.7265625" style="7" customWidth="1"/>
    <col min="249" max="249" width="5.26953125" style="7" customWidth="1"/>
    <col min="250" max="251" width="13.6328125" style="7" bestFit="1" customWidth="1"/>
    <col min="252" max="252" width="9.90625" style="7" customWidth="1"/>
    <col min="253" max="253" width="6.26953125" style="8" customWidth="1"/>
    <col min="254" max="254" width="6.1796875" style="7" customWidth="1"/>
    <col min="255" max="255" width="11" style="7" customWidth="1"/>
    <col min="256" max="256" width="5.36328125" style="7" customWidth="1"/>
    <col min="257" max="257" width="11.6328125" style="7" customWidth="1"/>
    <col min="258" max="258" width="5.1796875" style="7" customWidth="1"/>
    <col min="259" max="259" width="12.6328125" style="7" customWidth="1"/>
    <col min="260" max="260" width="12" style="7" customWidth="1"/>
    <col min="261" max="261" width="12.08984375" style="7" bestFit="1" customWidth="1"/>
    <col min="262" max="262" width="7.36328125" style="8" customWidth="1"/>
    <col min="263" max="263" width="5.6328125" style="7" customWidth="1"/>
    <col min="264" max="264" width="11.36328125" style="7" customWidth="1"/>
    <col min="265" max="265" width="5.90625" style="7" customWidth="1"/>
    <col min="266" max="266" width="13.6328125" style="7" bestFit="1" customWidth="1"/>
    <col min="267" max="267" width="8.90625" style="7" customWidth="1"/>
    <col min="268" max="269" width="13.6328125" style="7" bestFit="1" customWidth="1"/>
    <col min="270" max="270" width="10.453125" style="7" customWidth="1"/>
    <col min="271" max="271" width="6" style="8" customWidth="1"/>
    <col min="272" max="272" width="5.54296875" style="7" customWidth="1"/>
    <col min="273" max="273" width="11.26953125" style="7" customWidth="1"/>
    <col min="274" max="274" width="5.7265625" style="7" customWidth="1"/>
    <col min="275" max="275" width="11.453125" style="7" customWidth="1"/>
    <col min="276" max="276" width="5.90625" style="7" customWidth="1"/>
    <col min="277" max="277" width="10.6328125" style="7" customWidth="1"/>
    <col min="278" max="278" width="11.7265625" style="7" customWidth="1"/>
    <col min="279" max="279" width="12.08984375" style="7" bestFit="1" customWidth="1"/>
    <col min="280" max="280" width="6.1796875" style="8" customWidth="1"/>
    <col min="281" max="281" width="9" style="7"/>
    <col min="282" max="282" width="10.81640625" style="7" customWidth="1"/>
    <col min="283" max="283" width="6.1796875" style="7" customWidth="1"/>
    <col min="284" max="284" width="13.6328125" style="7" bestFit="1" customWidth="1"/>
    <col min="285" max="285" width="5.81640625" style="7" customWidth="1"/>
    <col min="286" max="286" width="11.54296875" style="7" customWidth="1"/>
    <col min="287" max="287" width="12.36328125" style="7" customWidth="1"/>
    <col min="288" max="288" width="12.08984375" style="7" bestFit="1" customWidth="1"/>
    <col min="289" max="289" width="9" style="8"/>
    <col min="290" max="290" width="5.7265625" style="7" customWidth="1"/>
    <col min="291" max="291" width="11.81640625" style="7" customWidth="1"/>
    <col min="292" max="292" width="5.81640625" style="7" customWidth="1"/>
    <col min="293" max="293" width="13.6328125" style="7" bestFit="1" customWidth="1"/>
    <col min="294" max="294" width="6" style="7" customWidth="1"/>
    <col min="295" max="296" width="13.6328125" style="7" bestFit="1" customWidth="1"/>
    <col min="297" max="297" width="12.08984375" style="7" bestFit="1" customWidth="1"/>
    <col min="298" max="298" width="5.54296875" style="8" customWidth="1"/>
    <col min="299" max="299" width="6" style="7" customWidth="1"/>
    <col min="300" max="300" width="13.6328125" style="7" bestFit="1" customWidth="1"/>
    <col min="301" max="301" width="6" style="7" customWidth="1"/>
    <col min="302" max="302" width="13.6328125" style="7" bestFit="1" customWidth="1"/>
    <col min="303" max="303" width="5.90625" style="7" customWidth="1"/>
    <col min="304" max="304" width="11.81640625" style="7" customWidth="1"/>
    <col min="305" max="305" width="11.36328125" style="7" customWidth="1"/>
    <col min="306" max="306" width="10.453125" style="7" customWidth="1"/>
    <col min="307" max="307" width="6.81640625" style="8" customWidth="1"/>
    <col min="308" max="308" width="9" style="7"/>
    <col min="309" max="309" width="13.6328125" style="7" bestFit="1" customWidth="1"/>
    <col min="310" max="310" width="9" style="7"/>
    <col min="311" max="311" width="13.6328125" style="7" bestFit="1" customWidth="1"/>
    <col min="312" max="312" width="9" style="7"/>
    <col min="313" max="314" width="13.6328125" style="7" bestFit="1" customWidth="1"/>
    <col min="315" max="315" width="12.08984375" style="7" bestFit="1" customWidth="1"/>
    <col min="316" max="316" width="9" style="8"/>
    <col min="317" max="317" width="9" style="7"/>
    <col min="318" max="318" width="14" style="7" customWidth="1"/>
    <col min="319" max="319" width="9" style="7"/>
    <col min="320" max="320" width="13.6328125" style="7" bestFit="1" customWidth="1"/>
    <col min="321" max="321" width="9" style="7"/>
    <col min="322" max="323" width="13.6328125" style="7" bestFit="1" customWidth="1"/>
    <col min="324" max="324" width="12.08984375" style="7" bestFit="1" customWidth="1"/>
    <col min="325" max="325" width="9" style="8"/>
    <col min="326" max="326" width="9" style="7"/>
    <col min="327" max="327" width="13.7265625" style="7" customWidth="1"/>
    <col min="328" max="328" width="9" style="7"/>
    <col min="329" max="329" width="13.6328125" style="7" bestFit="1" customWidth="1"/>
    <col min="330" max="330" width="9" style="7"/>
    <col min="331" max="332" width="13.6328125" style="7" bestFit="1" customWidth="1"/>
    <col min="333" max="333" width="12.08984375" style="7" bestFit="1" customWidth="1"/>
    <col min="334" max="334" width="9" style="8"/>
    <col min="335" max="335" width="9" style="7"/>
    <col min="336" max="336" width="13.7265625" style="7" customWidth="1"/>
    <col min="337" max="337" width="9" style="7"/>
    <col min="338" max="338" width="13.6328125" style="7" bestFit="1" customWidth="1"/>
    <col min="339" max="339" width="9" style="7"/>
    <col min="340" max="341" width="13.6328125" style="7" bestFit="1" customWidth="1"/>
    <col min="342" max="342" width="12.08984375" style="7" bestFit="1" customWidth="1"/>
    <col min="343" max="343" width="9" style="8"/>
    <col min="344" max="344" width="9" style="7"/>
    <col min="345" max="345" width="13.90625" style="7" customWidth="1"/>
    <col min="346" max="346" width="9" style="7"/>
    <col min="347" max="347" width="14.36328125" style="7" customWidth="1"/>
    <col min="348" max="348" width="9" style="7"/>
    <col min="349" max="350" width="13.6328125" style="7" bestFit="1" customWidth="1"/>
    <col min="351" max="351" width="12.08984375" style="7" bestFit="1" customWidth="1"/>
    <col min="352" max="352" width="9" style="8"/>
    <col min="353" max="353" width="9" style="7"/>
    <col min="354" max="354" width="12.08984375" style="7" bestFit="1" customWidth="1"/>
    <col min="355" max="355" width="9" style="7"/>
    <col min="356" max="356" width="13.7265625" style="7" customWidth="1"/>
    <col min="357" max="357" width="9" style="7"/>
    <col min="358" max="359" width="13.6328125" style="7" bestFit="1" customWidth="1"/>
    <col min="360" max="360" width="12.08984375" style="7" bestFit="1" customWidth="1"/>
    <col min="361" max="361" width="9" style="8"/>
    <col min="362" max="362" width="9" style="7"/>
    <col min="363" max="363" width="12.08984375" style="7" bestFit="1" customWidth="1"/>
    <col min="364" max="364" width="9" style="7"/>
    <col min="365" max="365" width="13.7265625" style="7" customWidth="1"/>
    <col min="366" max="366" width="9" style="7"/>
    <col min="367" max="368" width="13.6328125" style="7" bestFit="1" customWidth="1"/>
    <col min="369" max="369" width="12.08984375" style="7" bestFit="1" customWidth="1"/>
    <col min="370" max="370" width="9" style="8"/>
    <col min="371" max="371" width="9" style="7"/>
    <col min="372" max="372" width="12.08984375" style="7" bestFit="1" customWidth="1"/>
    <col min="373" max="373" width="9" style="7"/>
    <col min="374" max="374" width="13.6328125" style="7" customWidth="1"/>
    <col min="375" max="375" width="9" style="7"/>
    <col min="376" max="377" width="13.6328125" style="7" bestFit="1" customWidth="1"/>
    <col min="378" max="378" width="12.08984375" style="7" bestFit="1" customWidth="1"/>
    <col min="379" max="379" width="9" style="8"/>
    <col min="380" max="380" width="9" style="7"/>
    <col min="381" max="381" width="12.08984375" style="7" bestFit="1" customWidth="1"/>
    <col min="382" max="382" width="9" style="7"/>
    <col min="383" max="383" width="13.6328125" style="7" customWidth="1"/>
    <col min="384" max="384" width="9" style="7"/>
    <col min="385" max="386" width="13.6328125" style="7" bestFit="1" customWidth="1"/>
    <col min="387" max="387" width="12.08984375" style="7" bestFit="1" customWidth="1"/>
    <col min="388" max="388" width="9" style="8"/>
    <col min="389" max="389" width="9" style="7"/>
    <col min="390" max="390" width="12.08984375" style="7" bestFit="1" customWidth="1"/>
    <col min="391" max="391" width="9" style="7"/>
    <col min="392" max="392" width="13.6328125" style="7" customWidth="1"/>
    <col min="393" max="393" width="9" style="7"/>
    <col min="394" max="395" width="13.6328125" style="7" bestFit="1" customWidth="1"/>
    <col min="396" max="396" width="12.08984375" style="7" bestFit="1" customWidth="1"/>
    <col min="397" max="397" width="9" style="8"/>
    <col min="398" max="398" width="9" style="7"/>
    <col min="399" max="399" width="12.08984375" style="7" bestFit="1" customWidth="1"/>
    <col min="400" max="400" width="9" style="7"/>
    <col min="401" max="401" width="13.6328125" style="7" customWidth="1"/>
    <col min="402" max="402" width="9" style="7"/>
    <col min="403" max="404" width="13.6328125" style="7" bestFit="1" customWidth="1"/>
    <col min="405" max="405" width="12.08984375" style="7" bestFit="1" customWidth="1"/>
    <col min="406" max="406" width="9" style="8"/>
    <col min="407" max="407" width="9" style="7"/>
    <col min="408" max="408" width="12.08984375" style="7" bestFit="1" customWidth="1"/>
    <col min="409" max="409" width="9" style="7"/>
    <col min="410" max="410" width="13.6328125" style="7" customWidth="1"/>
    <col min="411" max="411" width="9" style="7"/>
    <col min="412" max="413" width="13.6328125" style="7" bestFit="1" customWidth="1"/>
    <col min="414" max="414" width="12.08984375" style="7" bestFit="1" customWidth="1"/>
    <col min="415" max="415" width="9" style="8"/>
    <col min="416" max="416" width="9" style="7"/>
    <col min="417" max="417" width="12.08984375" style="7" bestFit="1" customWidth="1"/>
    <col min="418" max="418" width="9" style="7"/>
    <col min="419" max="419" width="13.6328125" style="7" customWidth="1"/>
    <col min="420" max="420" width="9" style="7"/>
    <col min="421" max="422" width="13.6328125" style="7" bestFit="1" customWidth="1"/>
    <col min="423" max="423" width="12.08984375" style="7" bestFit="1" customWidth="1"/>
    <col min="424" max="424" width="9" style="8"/>
    <col min="425" max="16384" width="9.08984375" style="5"/>
  </cols>
  <sheetData>
    <row r="1" spans="1:424" x14ac:dyDescent="0.2">
      <c r="A1" s="33" t="s">
        <v>0</v>
      </c>
      <c r="B1" s="6" t="s">
        <v>138</v>
      </c>
      <c r="K1" s="6" t="s">
        <v>139</v>
      </c>
      <c r="T1" s="6" t="s">
        <v>140</v>
      </c>
      <c r="AC1" s="6" t="s">
        <v>141</v>
      </c>
      <c r="AL1" s="6" t="s">
        <v>142</v>
      </c>
      <c r="AU1" s="6" t="s">
        <v>143</v>
      </c>
      <c r="BD1" s="6" t="s">
        <v>144</v>
      </c>
      <c r="BM1" s="6" t="s">
        <v>145</v>
      </c>
      <c r="BV1" s="6" t="s">
        <v>146</v>
      </c>
      <c r="CE1" s="6" t="s">
        <v>147</v>
      </c>
      <c r="CN1" s="6" t="s">
        <v>148</v>
      </c>
      <c r="CW1" s="6" t="s">
        <v>149</v>
      </c>
      <c r="DF1" s="6" t="s">
        <v>150</v>
      </c>
      <c r="DO1" s="6" t="s">
        <v>151</v>
      </c>
      <c r="DX1" s="6" t="s">
        <v>152</v>
      </c>
      <c r="EG1" s="6" t="s">
        <v>153</v>
      </c>
      <c r="EP1" s="6" t="s">
        <v>154</v>
      </c>
      <c r="EY1" s="6" t="s">
        <v>155</v>
      </c>
      <c r="FH1" s="6" t="s">
        <v>156</v>
      </c>
      <c r="FQ1" s="6" t="s">
        <v>157</v>
      </c>
      <c r="FZ1" s="6" t="s">
        <v>158</v>
      </c>
      <c r="GI1" s="6" t="s">
        <v>159</v>
      </c>
      <c r="GR1" s="6" t="s">
        <v>160</v>
      </c>
      <c r="HA1" s="6" t="s">
        <v>161</v>
      </c>
      <c r="HJ1" s="6" t="s">
        <v>162</v>
      </c>
      <c r="HS1" s="6" t="s">
        <v>163</v>
      </c>
      <c r="IB1" s="6" t="s">
        <v>164</v>
      </c>
      <c r="IK1" s="6" t="s">
        <v>165</v>
      </c>
      <c r="IT1" s="6" t="s">
        <v>166</v>
      </c>
      <c r="JC1" s="6" t="s">
        <v>167</v>
      </c>
      <c r="JL1" s="6" t="s">
        <v>168</v>
      </c>
      <c r="JU1" s="6" t="s">
        <v>169</v>
      </c>
      <c r="KD1" s="6" t="s">
        <v>170</v>
      </c>
      <c r="KM1" s="6" t="s">
        <v>171</v>
      </c>
      <c r="KV1" s="6" t="s">
        <v>172</v>
      </c>
      <c r="LE1" s="6" t="s">
        <v>173</v>
      </c>
      <c r="LN1" s="6" t="s">
        <v>174</v>
      </c>
      <c r="LW1" s="6" t="s">
        <v>175</v>
      </c>
      <c r="MF1" s="6" t="s">
        <v>176</v>
      </c>
      <c r="MO1" s="6" t="s">
        <v>177</v>
      </c>
      <c r="MX1" s="6" t="s">
        <v>178</v>
      </c>
      <c r="NG1" s="6" t="s">
        <v>179</v>
      </c>
      <c r="NP1" s="6" t="s">
        <v>180</v>
      </c>
      <c r="NY1" s="6" t="s">
        <v>181</v>
      </c>
      <c r="OH1" s="6" t="s">
        <v>182</v>
      </c>
      <c r="OQ1" s="6" t="s">
        <v>183</v>
      </c>
      <c r="OZ1" s="6"/>
    </row>
    <row r="2" spans="1:424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  <c r="K2" s="9" t="s">
        <v>62</v>
      </c>
      <c r="L2" s="9"/>
      <c r="M2" s="10" t="s">
        <v>65</v>
      </c>
      <c r="N2" s="10"/>
      <c r="O2" s="11" t="s">
        <v>66</v>
      </c>
      <c r="P2" s="11"/>
      <c r="Q2" s="12" t="s">
        <v>67</v>
      </c>
      <c r="R2" s="12" t="s">
        <v>11</v>
      </c>
      <c r="S2" s="13" t="s">
        <v>68</v>
      </c>
      <c r="T2" s="9" t="s">
        <v>62</v>
      </c>
      <c r="U2" s="9"/>
      <c r="V2" s="10" t="s">
        <v>65</v>
      </c>
      <c r="W2" s="10"/>
      <c r="X2" s="11" t="s">
        <v>66</v>
      </c>
      <c r="Y2" s="11"/>
      <c r="Z2" s="12" t="s">
        <v>67</v>
      </c>
      <c r="AA2" s="12" t="s">
        <v>11</v>
      </c>
      <c r="AB2" s="13" t="s">
        <v>68</v>
      </c>
      <c r="AC2" s="9" t="s">
        <v>62</v>
      </c>
      <c r="AD2" s="9"/>
      <c r="AE2" s="10" t="s">
        <v>65</v>
      </c>
      <c r="AF2" s="10"/>
      <c r="AG2" s="11" t="s">
        <v>66</v>
      </c>
      <c r="AH2" s="11"/>
      <c r="AI2" s="12" t="s">
        <v>67</v>
      </c>
      <c r="AJ2" s="12" t="s">
        <v>11</v>
      </c>
      <c r="AK2" s="13" t="s">
        <v>68</v>
      </c>
      <c r="AL2" s="9" t="s">
        <v>62</v>
      </c>
      <c r="AM2" s="9"/>
      <c r="AN2" s="10" t="s">
        <v>65</v>
      </c>
      <c r="AO2" s="10"/>
      <c r="AP2" s="11" t="s">
        <v>66</v>
      </c>
      <c r="AQ2" s="11"/>
      <c r="AR2" s="12" t="s">
        <v>67</v>
      </c>
      <c r="AS2" s="12" t="s">
        <v>11</v>
      </c>
      <c r="AT2" s="13" t="s">
        <v>68</v>
      </c>
      <c r="AU2" s="9" t="s">
        <v>62</v>
      </c>
      <c r="AV2" s="9"/>
      <c r="AW2" s="10" t="s">
        <v>65</v>
      </c>
      <c r="AX2" s="10"/>
      <c r="AY2" s="11" t="s">
        <v>66</v>
      </c>
      <c r="AZ2" s="11"/>
      <c r="BA2" s="12" t="s">
        <v>67</v>
      </c>
      <c r="BB2" s="12" t="s">
        <v>11</v>
      </c>
      <c r="BC2" s="13" t="s">
        <v>68</v>
      </c>
      <c r="BD2" s="9" t="s">
        <v>62</v>
      </c>
      <c r="BE2" s="9"/>
      <c r="BF2" s="10" t="s">
        <v>65</v>
      </c>
      <c r="BG2" s="10"/>
      <c r="BH2" s="11" t="s">
        <v>66</v>
      </c>
      <c r="BI2" s="11"/>
      <c r="BJ2" s="12" t="s">
        <v>67</v>
      </c>
      <c r="BK2" s="12" t="s">
        <v>11</v>
      </c>
      <c r="BL2" s="13" t="s">
        <v>68</v>
      </c>
      <c r="BM2" s="9" t="s">
        <v>62</v>
      </c>
      <c r="BN2" s="9"/>
      <c r="BO2" s="10" t="s">
        <v>65</v>
      </c>
      <c r="BP2" s="10"/>
      <c r="BQ2" s="11" t="s">
        <v>66</v>
      </c>
      <c r="BR2" s="11"/>
      <c r="BS2" s="12" t="s">
        <v>67</v>
      </c>
      <c r="BT2" s="12" t="s">
        <v>11</v>
      </c>
      <c r="BU2" s="13" t="s">
        <v>68</v>
      </c>
      <c r="BV2" s="9" t="s">
        <v>62</v>
      </c>
      <c r="BW2" s="9"/>
      <c r="BX2" s="10" t="s">
        <v>65</v>
      </c>
      <c r="BY2" s="10"/>
      <c r="BZ2" s="11" t="s">
        <v>66</v>
      </c>
      <c r="CA2" s="11"/>
      <c r="CB2" s="12" t="s">
        <v>67</v>
      </c>
      <c r="CC2" s="12" t="s">
        <v>11</v>
      </c>
      <c r="CD2" s="13" t="s">
        <v>68</v>
      </c>
      <c r="CE2" s="9" t="s">
        <v>62</v>
      </c>
      <c r="CF2" s="9"/>
      <c r="CG2" s="10" t="s">
        <v>65</v>
      </c>
      <c r="CH2" s="10"/>
      <c r="CI2" s="11" t="s">
        <v>66</v>
      </c>
      <c r="CJ2" s="11"/>
      <c r="CK2" s="12" t="s">
        <v>67</v>
      </c>
      <c r="CL2" s="12" t="s">
        <v>11</v>
      </c>
      <c r="CM2" s="13" t="s">
        <v>68</v>
      </c>
      <c r="CN2" s="9" t="s">
        <v>62</v>
      </c>
      <c r="CO2" s="9"/>
      <c r="CP2" s="10" t="s">
        <v>65</v>
      </c>
      <c r="CQ2" s="10"/>
      <c r="CR2" s="11" t="s">
        <v>66</v>
      </c>
      <c r="CS2" s="11"/>
      <c r="CT2" s="12" t="s">
        <v>67</v>
      </c>
      <c r="CU2" s="12" t="s">
        <v>11</v>
      </c>
      <c r="CV2" s="13" t="s">
        <v>68</v>
      </c>
      <c r="CW2" s="9" t="s">
        <v>62</v>
      </c>
      <c r="CX2" s="9"/>
      <c r="CY2" s="10" t="s">
        <v>65</v>
      </c>
      <c r="CZ2" s="10"/>
      <c r="DA2" s="11" t="s">
        <v>66</v>
      </c>
      <c r="DB2" s="11"/>
      <c r="DC2" s="12" t="s">
        <v>67</v>
      </c>
      <c r="DD2" s="12" t="s">
        <v>11</v>
      </c>
      <c r="DE2" s="13" t="s">
        <v>68</v>
      </c>
      <c r="DF2" s="9" t="s">
        <v>62</v>
      </c>
      <c r="DG2" s="9"/>
      <c r="DH2" s="10" t="s">
        <v>65</v>
      </c>
      <c r="DI2" s="10"/>
      <c r="DJ2" s="11" t="s">
        <v>66</v>
      </c>
      <c r="DK2" s="11"/>
      <c r="DL2" s="12" t="s">
        <v>67</v>
      </c>
      <c r="DM2" s="12" t="s">
        <v>11</v>
      </c>
      <c r="DN2" s="13" t="s">
        <v>68</v>
      </c>
      <c r="DO2" s="9" t="s">
        <v>62</v>
      </c>
      <c r="DP2" s="9"/>
      <c r="DQ2" s="10" t="s">
        <v>65</v>
      </c>
      <c r="DR2" s="10"/>
      <c r="DS2" s="11" t="s">
        <v>66</v>
      </c>
      <c r="DT2" s="11"/>
      <c r="DU2" s="12" t="s">
        <v>67</v>
      </c>
      <c r="DV2" s="12" t="s">
        <v>11</v>
      </c>
      <c r="DW2" s="13" t="s">
        <v>68</v>
      </c>
      <c r="DX2" s="9" t="s">
        <v>62</v>
      </c>
      <c r="DY2" s="9"/>
      <c r="DZ2" s="10" t="s">
        <v>65</v>
      </c>
      <c r="EA2" s="10"/>
      <c r="EB2" s="11" t="s">
        <v>66</v>
      </c>
      <c r="EC2" s="11"/>
      <c r="ED2" s="12" t="s">
        <v>67</v>
      </c>
      <c r="EE2" s="12" t="s">
        <v>11</v>
      </c>
      <c r="EF2" s="13" t="s">
        <v>68</v>
      </c>
      <c r="EG2" s="9" t="s">
        <v>62</v>
      </c>
      <c r="EH2" s="9"/>
      <c r="EI2" s="10" t="s">
        <v>65</v>
      </c>
      <c r="EJ2" s="10"/>
      <c r="EK2" s="11" t="s">
        <v>66</v>
      </c>
      <c r="EL2" s="11"/>
      <c r="EM2" s="12" t="s">
        <v>67</v>
      </c>
      <c r="EN2" s="12" t="s">
        <v>11</v>
      </c>
      <c r="EO2" s="13" t="s">
        <v>68</v>
      </c>
      <c r="EP2" s="9" t="s">
        <v>62</v>
      </c>
      <c r="EQ2" s="9"/>
      <c r="ER2" s="10" t="s">
        <v>65</v>
      </c>
      <c r="ES2" s="10"/>
      <c r="ET2" s="11" t="s">
        <v>66</v>
      </c>
      <c r="EU2" s="11"/>
      <c r="EV2" s="12" t="s">
        <v>67</v>
      </c>
      <c r="EW2" s="12" t="s">
        <v>11</v>
      </c>
      <c r="EX2" s="13" t="s">
        <v>68</v>
      </c>
      <c r="EY2" s="9" t="s">
        <v>62</v>
      </c>
      <c r="EZ2" s="9"/>
      <c r="FA2" s="10" t="s">
        <v>65</v>
      </c>
      <c r="FB2" s="10"/>
      <c r="FC2" s="11" t="s">
        <v>66</v>
      </c>
      <c r="FD2" s="11"/>
      <c r="FE2" s="12" t="s">
        <v>67</v>
      </c>
      <c r="FF2" s="12" t="s">
        <v>11</v>
      </c>
      <c r="FG2" s="13" t="s">
        <v>68</v>
      </c>
      <c r="FH2" s="9" t="s">
        <v>62</v>
      </c>
      <c r="FI2" s="9"/>
      <c r="FJ2" s="10" t="s">
        <v>65</v>
      </c>
      <c r="FK2" s="10"/>
      <c r="FL2" s="11" t="s">
        <v>66</v>
      </c>
      <c r="FM2" s="11"/>
      <c r="FN2" s="12" t="s">
        <v>67</v>
      </c>
      <c r="FO2" s="12" t="s">
        <v>11</v>
      </c>
      <c r="FP2" s="13" t="s">
        <v>68</v>
      </c>
      <c r="FQ2" s="9" t="s">
        <v>62</v>
      </c>
      <c r="FR2" s="9"/>
      <c r="FS2" s="10" t="s">
        <v>65</v>
      </c>
      <c r="FT2" s="10"/>
      <c r="FU2" s="11" t="s">
        <v>66</v>
      </c>
      <c r="FV2" s="11"/>
      <c r="FW2" s="12" t="s">
        <v>67</v>
      </c>
      <c r="FX2" s="12" t="s">
        <v>11</v>
      </c>
      <c r="FY2" s="13" t="s">
        <v>68</v>
      </c>
      <c r="FZ2" s="9" t="s">
        <v>62</v>
      </c>
      <c r="GA2" s="9"/>
      <c r="GB2" s="10" t="s">
        <v>65</v>
      </c>
      <c r="GC2" s="10"/>
      <c r="GD2" s="11" t="s">
        <v>66</v>
      </c>
      <c r="GE2" s="11"/>
      <c r="GF2" s="12" t="s">
        <v>67</v>
      </c>
      <c r="GG2" s="12" t="s">
        <v>11</v>
      </c>
      <c r="GH2" s="13" t="s">
        <v>68</v>
      </c>
      <c r="GI2" s="9" t="s">
        <v>62</v>
      </c>
      <c r="GJ2" s="9"/>
      <c r="GK2" s="10" t="s">
        <v>65</v>
      </c>
      <c r="GL2" s="10"/>
      <c r="GM2" s="11" t="s">
        <v>66</v>
      </c>
      <c r="GN2" s="11"/>
      <c r="GO2" s="12" t="s">
        <v>67</v>
      </c>
      <c r="GP2" s="12" t="s">
        <v>11</v>
      </c>
      <c r="GQ2" s="13" t="s">
        <v>68</v>
      </c>
      <c r="GR2" s="9" t="s">
        <v>62</v>
      </c>
      <c r="GS2" s="9"/>
      <c r="GT2" s="10" t="s">
        <v>65</v>
      </c>
      <c r="GU2" s="10"/>
      <c r="GV2" s="11" t="s">
        <v>66</v>
      </c>
      <c r="GW2" s="11"/>
      <c r="GX2" s="12" t="s">
        <v>67</v>
      </c>
      <c r="GY2" s="12" t="s">
        <v>11</v>
      </c>
      <c r="GZ2" s="13" t="s">
        <v>68</v>
      </c>
      <c r="HA2" s="9" t="s">
        <v>62</v>
      </c>
      <c r="HB2" s="9"/>
      <c r="HC2" s="10" t="s">
        <v>65</v>
      </c>
      <c r="HD2" s="10"/>
      <c r="HE2" s="11" t="s">
        <v>66</v>
      </c>
      <c r="HF2" s="11"/>
      <c r="HG2" s="12" t="s">
        <v>67</v>
      </c>
      <c r="HH2" s="12" t="s">
        <v>11</v>
      </c>
      <c r="HI2" s="13" t="s">
        <v>68</v>
      </c>
      <c r="HJ2" s="9" t="s">
        <v>62</v>
      </c>
      <c r="HK2" s="9"/>
      <c r="HL2" s="10" t="s">
        <v>65</v>
      </c>
      <c r="HM2" s="10"/>
      <c r="HN2" s="11" t="s">
        <v>66</v>
      </c>
      <c r="HO2" s="11"/>
      <c r="HP2" s="12" t="s">
        <v>67</v>
      </c>
      <c r="HQ2" s="12" t="s">
        <v>11</v>
      </c>
      <c r="HR2" s="13" t="s">
        <v>68</v>
      </c>
      <c r="HS2" s="9" t="s">
        <v>62</v>
      </c>
      <c r="HT2" s="9"/>
      <c r="HU2" s="10" t="s">
        <v>65</v>
      </c>
      <c r="HV2" s="10"/>
      <c r="HW2" s="11" t="s">
        <v>66</v>
      </c>
      <c r="HX2" s="11"/>
      <c r="HY2" s="12" t="s">
        <v>67</v>
      </c>
      <c r="HZ2" s="12" t="s">
        <v>11</v>
      </c>
      <c r="IA2" s="13" t="s">
        <v>68</v>
      </c>
      <c r="IB2" s="9" t="s">
        <v>62</v>
      </c>
      <c r="IC2" s="9"/>
      <c r="ID2" s="10" t="s">
        <v>65</v>
      </c>
      <c r="IE2" s="10"/>
      <c r="IF2" s="11" t="s">
        <v>66</v>
      </c>
      <c r="IG2" s="11"/>
      <c r="IH2" s="12" t="s">
        <v>67</v>
      </c>
      <c r="II2" s="12" t="s">
        <v>11</v>
      </c>
      <c r="IJ2" s="13" t="s">
        <v>68</v>
      </c>
      <c r="IK2" s="9" t="s">
        <v>62</v>
      </c>
      <c r="IL2" s="9"/>
      <c r="IM2" s="10" t="s">
        <v>65</v>
      </c>
      <c r="IN2" s="10"/>
      <c r="IO2" s="11" t="s">
        <v>66</v>
      </c>
      <c r="IP2" s="11"/>
      <c r="IQ2" s="12" t="s">
        <v>67</v>
      </c>
      <c r="IR2" s="12" t="s">
        <v>11</v>
      </c>
      <c r="IS2" s="13" t="s">
        <v>68</v>
      </c>
      <c r="IT2" s="9" t="s">
        <v>62</v>
      </c>
      <c r="IU2" s="9"/>
      <c r="IV2" s="10" t="s">
        <v>65</v>
      </c>
      <c r="IW2" s="10"/>
      <c r="IX2" s="11" t="s">
        <v>66</v>
      </c>
      <c r="IY2" s="11"/>
      <c r="IZ2" s="12" t="s">
        <v>67</v>
      </c>
      <c r="JA2" s="12" t="s">
        <v>11</v>
      </c>
      <c r="JB2" s="13" t="s">
        <v>68</v>
      </c>
      <c r="JC2" s="9" t="s">
        <v>62</v>
      </c>
      <c r="JD2" s="9"/>
      <c r="JE2" s="10" t="s">
        <v>65</v>
      </c>
      <c r="JF2" s="10"/>
      <c r="JG2" s="11" t="s">
        <v>66</v>
      </c>
      <c r="JH2" s="11"/>
      <c r="JI2" s="12" t="s">
        <v>67</v>
      </c>
      <c r="JJ2" s="12" t="s">
        <v>11</v>
      </c>
      <c r="JK2" s="13" t="s">
        <v>68</v>
      </c>
      <c r="JL2" s="9" t="s">
        <v>62</v>
      </c>
      <c r="JM2" s="9"/>
      <c r="JN2" s="10" t="s">
        <v>65</v>
      </c>
      <c r="JO2" s="10"/>
      <c r="JP2" s="11" t="s">
        <v>66</v>
      </c>
      <c r="JQ2" s="11"/>
      <c r="JR2" s="12" t="s">
        <v>67</v>
      </c>
      <c r="JS2" s="12" t="s">
        <v>11</v>
      </c>
      <c r="JT2" s="13" t="s">
        <v>68</v>
      </c>
      <c r="JU2" s="9" t="s">
        <v>62</v>
      </c>
      <c r="JV2" s="9"/>
      <c r="JW2" s="10" t="s">
        <v>65</v>
      </c>
      <c r="JX2" s="10"/>
      <c r="JY2" s="11" t="s">
        <v>66</v>
      </c>
      <c r="JZ2" s="11"/>
      <c r="KA2" s="12" t="s">
        <v>67</v>
      </c>
      <c r="KB2" s="12" t="s">
        <v>11</v>
      </c>
      <c r="KC2" s="13" t="s">
        <v>68</v>
      </c>
      <c r="KD2" s="9" t="s">
        <v>62</v>
      </c>
      <c r="KE2" s="9"/>
      <c r="KF2" s="10" t="s">
        <v>65</v>
      </c>
      <c r="KG2" s="10"/>
      <c r="KH2" s="11" t="s">
        <v>66</v>
      </c>
      <c r="KI2" s="11"/>
      <c r="KJ2" s="12" t="s">
        <v>67</v>
      </c>
      <c r="KK2" s="12" t="s">
        <v>11</v>
      </c>
      <c r="KL2" s="13" t="s">
        <v>68</v>
      </c>
      <c r="KM2" s="9" t="s">
        <v>62</v>
      </c>
      <c r="KN2" s="9"/>
      <c r="KO2" s="10" t="s">
        <v>65</v>
      </c>
      <c r="KP2" s="10"/>
      <c r="KQ2" s="11" t="s">
        <v>66</v>
      </c>
      <c r="KR2" s="11"/>
      <c r="KS2" s="12" t="s">
        <v>67</v>
      </c>
      <c r="KT2" s="12" t="s">
        <v>11</v>
      </c>
      <c r="KU2" s="13" t="s">
        <v>68</v>
      </c>
      <c r="KV2" s="9" t="s">
        <v>62</v>
      </c>
      <c r="KW2" s="9"/>
      <c r="KX2" s="10" t="s">
        <v>65</v>
      </c>
      <c r="KY2" s="10"/>
      <c r="KZ2" s="11" t="s">
        <v>66</v>
      </c>
      <c r="LA2" s="11"/>
      <c r="LB2" s="12" t="s">
        <v>67</v>
      </c>
      <c r="LC2" s="12" t="s">
        <v>11</v>
      </c>
      <c r="LD2" s="13" t="s">
        <v>68</v>
      </c>
      <c r="LE2" s="9" t="s">
        <v>62</v>
      </c>
      <c r="LF2" s="9"/>
      <c r="LG2" s="10" t="s">
        <v>65</v>
      </c>
      <c r="LH2" s="10"/>
      <c r="LI2" s="11" t="s">
        <v>66</v>
      </c>
      <c r="LJ2" s="11"/>
      <c r="LK2" s="12" t="s">
        <v>67</v>
      </c>
      <c r="LL2" s="12" t="s">
        <v>11</v>
      </c>
      <c r="LM2" s="13" t="s">
        <v>68</v>
      </c>
      <c r="LN2" s="9" t="s">
        <v>62</v>
      </c>
      <c r="LO2" s="9"/>
      <c r="LP2" s="10" t="s">
        <v>65</v>
      </c>
      <c r="LQ2" s="10"/>
      <c r="LR2" s="11" t="s">
        <v>66</v>
      </c>
      <c r="LS2" s="11"/>
      <c r="LT2" s="12" t="s">
        <v>67</v>
      </c>
      <c r="LU2" s="12" t="s">
        <v>11</v>
      </c>
      <c r="LV2" s="13" t="s">
        <v>68</v>
      </c>
      <c r="LW2" s="9" t="s">
        <v>62</v>
      </c>
      <c r="LX2" s="9"/>
      <c r="LY2" s="10" t="s">
        <v>65</v>
      </c>
      <c r="LZ2" s="10"/>
      <c r="MA2" s="11" t="s">
        <v>66</v>
      </c>
      <c r="MB2" s="11"/>
      <c r="MC2" s="12" t="s">
        <v>67</v>
      </c>
      <c r="MD2" s="12" t="s">
        <v>11</v>
      </c>
      <c r="ME2" s="13" t="s">
        <v>68</v>
      </c>
      <c r="MF2" s="9" t="s">
        <v>62</v>
      </c>
      <c r="MG2" s="9"/>
      <c r="MH2" s="10" t="s">
        <v>65</v>
      </c>
      <c r="MI2" s="10"/>
      <c r="MJ2" s="11" t="s">
        <v>66</v>
      </c>
      <c r="MK2" s="11"/>
      <c r="ML2" s="12" t="s">
        <v>67</v>
      </c>
      <c r="MM2" s="12" t="s">
        <v>11</v>
      </c>
      <c r="MN2" s="13" t="s">
        <v>68</v>
      </c>
      <c r="MO2" s="9" t="s">
        <v>62</v>
      </c>
      <c r="MP2" s="9"/>
      <c r="MQ2" s="10" t="s">
        <v>65</v>
      </c>
      <c r="MR2" s="10"/>
      <c r="MS2" s="11" t="s">
        <v>66</v>
      </c>
      <c r="MT2" s="11"/>
      <c r="MU2" s="12" t="s">
        <v>67</v>
      </c>
      <c r="MV2" s="12" t="s">
        <v>11</v>
      </c>
      <c r="MW2" s="13" t="s">
        <v>68</v>
      </c>
      <c r="MX2" s="9" t="s">
        <v>62</v>
      </c>
      <c r="MY2" s="9"/>
      <c r="MZ2" s="10" t="s">
        <v>65</v>
      </c>
      <c r="NA2" s="10"/>
      <c r="NB2" s="11" t="s">
        <v>66</v>
      </c>
      <c r="NC2" s="11"/>
      <c r="ND2" s="12" t="s">
        <v>67</v>
      </c>
      <c r="NE2" s="12" t="s">
        <v>11</v>
      </c>
      <c r="NF2" s="13" t="s">
        <v>68</v>
      </c>
      <c r="NG2" s="9" t="s">
        <v>62</v>
      </c>
      <c r="NH2" s="9"/>
      <c r="NI2" s="10" t="s">
        <v>65</v>
      </c>
      <c r="NJ2" s="10"/>
      <c r="NK2" s="11" t="s">
        <v>66</v>
      </c>
      <c r="NL2" s="11"/>
      <c r="NM2" s="12" t="s">
        <v>67</v>
      </c>
      <c r="NN2" s="12" t="s">
        <v>11</v>
      </c>
      <c r="NO2" s="13" t="s">
        <v>68</v>
      </c>
      <c r="NP2" s="9" t="s">
        <v>62</v>
      </c>
      <c r="NQ2" s="9"/>
      <c r="NR2" s="10" t="s">
        <v>65</v>
      </c>
      <c r="NS2" s="10"/>
      <c r="NT2" s="11" t="s">
        <v>66</v>
      </c>
      <c r="NU2" s="11"/>
      <c r="NV2" s="12" t="s">
        <v>67</v>
      </c>
      <c r="NW2" s="12" t="s">
        <v>11</v>
      </c>
      <c r="NX2" s="13" t="s">
        <v>68</v>
      </c>
      <c r="NY2" s="9" t="s">
        <v>62</v>
      </c>
      <c r="NZ2" s="9"/>
      <c r="OA2" s="10" t="s">
        <v>65</v>
      </c>
      <c r="OB2" s="10"/>
      <c r="OC2" s="11" t="s">
        <v>66</v>
      </c>
      <c r="OD2" s="11"/>
      <c r="OE2" s="12" t="s">
        <v>67</v>
      </c>
      <c r="OF2" s="12" t="s">
        <v>11</v>
      </c>
      <c r="OG2" s="13" t="s">
        <v>68</v>
      </c>
      <c r="OH2" s="9" t="s">
        <v>62</v>
      </c>
      <c r="OI2" s="9"/>
      <c r="OJ2" s="10" t="s">
        <v>65</v>
      </c>
      <c r="OK2" s="10"/>
      <c r="OL2" s="11" t="s">
        <v>66</v>
      </c>
      <c r="OM2" s="11"/>
      <c r="ON2" s="12" t="s">
        <v>67</v>
      </c>
      <c r="OO2" s="12" t="s">
        <v>11</v>
      </c>
      <c r="OP2" s="13" t="s">
        <v>68</v>
      </c>
      <c r="OQ2" s="9" t="s">
        <v>62</v>
      </c>
      <c r="OR2" s="9"/>
      <c r="OS2" s="10" t="s">
        <v>65</v>
      </c>
      <c r="OT2" s="10"/>
      <c r="OU2" s="11" t="s">
        <v>66</v>
      </c>
      <c r="OV2" s="11"/>
      <c r="OW2" s="12" t="s">
        <v>67</v>
      </c>
      <c r="OX2" s="12" t="s">
        <v>11</v>
      </c>
      <c r="OY2" s="13" t="s">
        <v>68</v>
      </c>
      <c r="OZ2" s="14" t="s">
        <v>62</v>
      </c>
      <c r="PA2" s="14"/>
      <c r="PB2" s="15" t="s">
        <v>65</v>
      </c>
      <c r="PC2" s="15"/>
      <c r="PD2" s="16" t="s">
        <v>66</v>
      </c>
      <c r="PE2" s="16"/>
      <c r="PF2" s="17" t="s">
        <v>67</v>
      </c>
      <c r="PG2" s="17" t="s">
        <v>11</v>
      </c>
      <c r="PH2" s="18" t="s">
        <v>68</v>
      </c>
    </row>
    <row r="3" spans="1:424" ht="12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  <c r="K3" s="9" t="s">
        <v>63</v>
      </c>
      <c r="L3" s="9" t="s">
        <v>64</v>
      </c>
      <c r="M3" s="10" t="s">
        <v>63</v>
      </c>
      <c r="N3" s="10" t="s">
        <v>64</v>
      </c>
      <c r="O3" s="11" t="s">
        <v>63</v>
      </c>
      <c r="P3" s="11" t="s">
        <v>64</v>
      </c>
      <c r="Q3" s="12"/>
      <c r="R3" s="12"/>
      <c r="S3" s="13"/>
      <c r="T3" s="9" t="s">
        <v>63</v>
      </c>
      <c r="U3" s="9" t="s">
        <v>64</v>
      </c>
      <c r="V3" s="10" t="s">
        <v>63</v>
      </c>
      <c r="W3" s="10" t="s">
        <v>64</v>
      </c>
      <c r="X3" s="11" t="s">
        <v>63</v>
      </c>
      <c r="Y3" s="11" t="s">
        <v>64</v>
      </c>
      <c r="Z3" s="12"/>
      <c r="AA3" s="12"/>
      <c r="AB3" s="13"/>
      <c r="AC3" s="9" t="s">
        <v>63</v>
      </c>
      <c r="AD3" s="9" t="s">
        <v>64</v>
      </c>
      <c r="AE3" s="10" t="s">
        <v>63</v>
      </c>
      <c r="AF3" s="10" t="s">
        <v>64</v>
      </c>
      <c r="AG3" s="11" t="s">
        <v>63</v>
      </c>
      <c r="AH3" s="11" t="s">
        <v>64</v>
      </c>
      <c r="AI3" s="12"/>
      <c r="AJ3" s="12"/>
      <c r="AK3" s="13"/>
      <c r="AL3" s="9" t="s">
        <v>63</v>
      </c>
      <c r="AM3" s="9" t="s">
        <v>64</v>
      </c>
      <c r="AN3" s="10" t="s">
        <v>63</v>
      </c>
      <c r="AO3" s="10" t="s">
        <v>64</v>
      </c>
      <c r="AP3" s="11" t="s">
        <v>63</v>
      </c>
      <c r="AQ3" s="11" t="s">
        <v>64</v>
      </c>
      <c r="AR3" s="12"/>
      <c r="AS3" s="12"/>
      <c r="AT3" s="13"/>
      <c r="AU3" s="9" t="s">
        <v>63</v>
      </c>
      <c r="AV3" s="9" t="s">
        <v>64</v>
      </c>
      <c r="AW3" s="10" t="s">
        <v>63</v>
      </c>
      <c r="AX3" s="10" t="s">
        <v>64</v>
      </c>
      <c r="AY3" s="11" t="s">
        <v>63</v>
      </c>
      <c r="AZ3" s="11" t="s">
        <v>64</v>
      </c>
      <c r="BA3" s="12"/>
      <c r="BB3" s="12"/>
      <c r="BC3" s="13"/>
      <c r="BD3" s="9" t="s">
        <v>63</v>
      </c>
      <c r="BE3" s="9" t="s">
        <v>64</v>
      </c>
      <c r="BF3" s="10" t="s">
        <v>63</v>
      </c>
      <c r="BG3" s="10" t="s">
        <v>64</v>
      </c>
      <c r="BH3" s="11" t="s">
        <v>63</v>
      </c>
      <c r="BI3" s="11" t="s">
        <v>64</v>
      </c>
      <c r="BJ3" s="12"/>
      <c r="BK3" s="12"/>
      <c r="BL3" s="13"/>
      <c r="BM3" s="9" t="s">
        <v>63</v>
      </c>
      <c r="BN3" s="9" t="s">
        <v>64</v>
      </c>
      <c r="BO3" s="10" t="s">
        <v>63</v>
      </c>
      <c r="BP3" s="10" t="s">
        <v>64</v>
      </c>
      <c r="BQ3" s="11" t="s">
        <v>63</v>
      </c>
      <c r="BR3" s="11" t="s">
        <v>64</v>
      </c>
      <c r="BS3" s="12"/>
      <c r="BT3" s="12"/>
      <c r="BU3" s="13"/>
      <c r="BV3" s="9" t="s">
        <v>63</v>
      </c>
      <c r="BW3" s="9" t="s">
        <v>64</v>
      </c>
      <c r="BX3" s="10" t="s">
        <v>63</v>
      </c>
      <c r="BY3" s="10" t="s">
        <v>64</v>
      </c>
      <c r="BZ3" s="11" t="s">
        <v>63</v>
      </c>
      <c r="CA3" s="11" t="s">
        <v>64</v>
      </c>
      <c r="CB3" s="12"/>
      <c r="CC3" s="12"/>
      <c r="CD3" s="13"/>
      <c r="CE3" s="9" t="s">
        <v>63</v>
      </c>
      <c r="CF3" s="9" t="s">
        <v>64</v>
      </c>
      <c r="CG3" s="10" t="s">
        <v>63</v>
      </c>
      <c r="CH3" s="10" t="s">
        <v>64</v>
      </c>
      <c r="CI3" s="11" t="s">
        <v>63</v>
      </c>
      <c r="CJ3" s="11" t="s">
        <v>64</v>
      </c>
      <c r="CK3" s="12"/>
      <c r="CL3" s="12"/>
      <c r="CM3" s="13"/>
      <c r="CN3" s="9" t="s">
        <v>63</v>
      </c>
      <c r="CO3" s="9" t="s">
        <v>64</v>
      </c>
      <c r="CP3" s="10" t="s">
        <v>63</v>
      </c>
      <c r="CQ3" s="10" t="s">
        <v>64</v>
      </c>
      <c r="CR3" s="11" t="s">
        <v>63</v>
      </c>
      <c r="CS3" s="11" t="s">
        <v>64</v>
      </c>
      <c r="CT3" s="12"/>
      <c r="CU3" s="12"/>
      <c r="CV3" s="13"/>
      <c r="CW3" s="9" t="s">
        <v>63</v>
      </c>
      <c r="CX3" s="9" t="s">
        <v>64</v>
      </c>
      <c r="CY3" s="10" t="s">
        <v>63</v>
      </c>
      <c r="CZ3" s="10" t="s">
        <v>64</v>
      </c>
      <c r="DA3" s="11" t="s">
        <v>63</v>
      </c>
      <c r="DB3" s="11" t="s">
        <v>64</v>
      </c>
      <c r="DC3" s="12"/>
      <c r="DD3" s="12"/>
      <c r="DE3" s="13"/>
      <c r="DF3" s="9" t="s">
        <v>63</v>
      </c>
      <c r="DG3" s="9" t="s">
        <v>64</v>
      </c>
      <c r="DH3" s="10" t="s">
        <v>63</v>
      </c>
      <c r="DI3" s="10" t="s">
        <v>64</v>
      </c>
      <c r="DJ3" s="11" t="s">
        <v>63</v>
      </c>
      <c r="DK3" s="11" t="s">
        <v>64</v>
      </c>
      <c r="DL3" s="12"/>
      <c r="DM3" s="12"/>
      <c r="DN3" s="13"/>
      <c r="DO3" s="9" t="s">
        <v>63</v>
      </c>
      <c r="DP3" s="9" t="s">
        <v>64</v>
      </c>
      <c r="DQ3" s="10" t="s">
        <v>63</v>
      </c>
      <c r="DR3" s="10" t="s">
        <v>64</v>
      </c>
      <c r="DS3" s="11" t="s">
        <v>63</v>
      </c>
      <c r="DT3" s="11" t="s">
        <v>64</v>
      </c>
      <c r="DU3" s="12"/>
      <c r="DV3" s="12"/>
      <c r="DW3" s="13"/>
      <c r="DX3" s="9" t="s">
        <v>63</v>
      </c>
      <c r="DY3" s="9" t="s">
        <v>64</v>
      </c>
      <c r="DZ3" s="10" t="s">
        <v>63</v>
      </c>
      <c r="EA3" s="10" t="s">
        <v>64</v>
      </c>
      <c r="EB3" s="11" t="s">
        <v>63</v>
      </c>
      <c r="EC3" s="11" t="s">
        <v>64</v>
      </c>
      <c r="ED3" s="12"/>
      <c r="EE3" s="12"/>
      <c r="EF3" s="13"/>
      <c r="EG3" s="9" t="s">
        <v>63</v>
      </c>
      <c r="EH3" s="9" t="s">
        <v>64</v>
      </c>
      <c r="EI3" s="10" t="s">
        <v>63</v>
      </c>
      <c r="EJ3" s="10" t="s">
        <v>64</v>
      </c>
      <c r="EK3" s="11" t="s">
        <v>63</v>
      </c>
      <c r="EL3" s="11" t="s">
        <v>64</v>
      </c>
      <c r="EM3" s="12"/>
      <c r="EN3" s="12"/>
      <c r="EO3" s="13"/>
      <c r="EP3" s="9" t="s">
        <v>63</v>
      </c>
      <c r="EQ3" s="9" t="s">
        <v>64</v>
      </c>
      <c r="ER3" s="10" t="s">
        <v>63</v>
      </c>
      <c r="ES3" s="10" t="s">
        <v>64</v>
      </c>
      <c r="ET3" s="11" t="s">
        <v>63</v>
      </c>
      <c r="EU3" s="11" t="s">
        <v>64</v>
      </c>
      <c r="EV3" s="12"/>
      <c r="EW3" s="12"/>
      <c r="EX3" s="13"/>
      <c r="EY3" s="9" t="s">
        <v>63</v>
      </c>
      <c r="EZ3" s="9" t="s">
        <v>64</v>
      </c>
      <c r="FA3" s="10" t="s">
        <v>63</v>
      </c>
      <c r="FB3" s="10" t="s">
        <v>64</v>
      </c>
      <c r="FC3" s="11" t="s">
        <v>63</v>
      </c>
      <c r="FD3" s="11" t="s">
        <v>64</v>
      </c>
      <c r="FE3" s="12"/>
      <c r="FF3" s="12"/>
      <c r="FG3" s="13"/>
      <c r="FH3" s="9" t="s">
        <v>63</v>
      </c>
      <c r="FI3" s="9" t="s">
        <v>64</v>
      </c>
      <c r="FJ3" s="10" t="s">
        <v>63</v>
      </c>
      <c r="FK3" s="10" t="s">
        <v>64</v>
      </c>
      <c r="FL3" s="11" t="s">
        <v>63</v>
      </c>
      <c r="FM3" s="11" t="s">
        <v>64</v>
      </c>
      <c r="FN3" s="12"/>
      <c r="FO3" s="12"/>
      <c r="FP3" s="13"/>
      <c r="FQ3" s="9" t="s">
        <v>63</v>
      </c>
      <c r="FR3" s="9" t="s">
        <v>64</v>
      </c>
      <c r="FS3" s="10" t="s">
        <v>63</v>
      </c>
      <c r="FT3" s="10" t="s">
        <v>64</v>
      </c>
      <c r="FU3" s="11" t="s">
        <v>63</v>
      </c>
      <c r="FV3" s="11" t="s">
        <v>64</v>
      </c>
      <c r="FW3" s="12"/>
      <c r="FX3" s="12"/>
      <c r="FY3" s="13"/>
      <c r="FZ3" s="9" t="s">
        <v>63</v>
      </c>
      <c r="GA3" s="9" t="s">
        <v>64</v>
      </c>
      <c r="GB3" s="10" t="s">
        <v>63</v>
      </c>
      <c r="GC3" s="10" t="s">
        <v>64</v>
      </c>
      <c r="GD3" s="11" t="s">
        <v>63</v>
      </c>
      <c r="GE3" s="11" t="s">
        <v>64</v>
      </c>
      <c r="GF3" s="12"/>
      <c r="GG3" s="12"/>
      <c r="GH3" s="13"/>
      <c r="GI3" s="9" t="s">
        <v>63</v>
      </c>
      <c r="GJ3" s="9" t="s">
        <v>64</v>
      </c>
      <c r="GK3" s="10" t="s">
        <v>63</v>
      </c>
      <c r="GL3" s="10" t="s">
        <v>64</v>
      </c>
      <c r="GM3" s="11" t="s">
        <v>63</v>
      </c>
      <c r="GN3" s="11" t="s">
        <v>64</v>
      </c>
      <c r="GO3" s="12"/>
      <c r="GP3" s="12"/>
      <c r="GQ3" s="13"/>
      <c r="GR3" s="9" t="s">
        <v>63</v>
      </c>
      <c r="GS3" s="9" t="s">
        <v>64</v>
      </c>
      <c r="GT3" s="10" t="s">
        <v>63</v>
      </c>
      <c r="GU3" s="10" t="s">
        <v>64</v>
      </c>
      <c r="GV3" s="11" t="s">
        <v>63</v>
      </c>
      <c r="GW3" s="11" t="s">
        <v>64</v>
      </c>
      <c r="GX3" s="12"/>
      <c r="GY3" s="12"/>
      <c r="GZ3" s="13"/>
      <c r="HA3" s="9" t="s">
        <v>63</v>
      </c>
      <c r="HB3" s="9" t="s">
        <v>64</v>
      </c>
      <c r="HC3" s="10" t="s">
        <v>63</v>
      </c>
      <c r="HD3" s="10" t="s">
        <v>64</v>
      </c>
      <c r="HE3" s="11" t="s">
        <v>63</v>
      </c>
      <c r="HF3" s="11" t="s">
        <v>64</v>
      </c>
      <c r="HG3" s="12"/>
      <c r="HH3" s="12"/>
      <c r="HI3" s="13"/>
      <c r="HJ3" s="9" t="s">
        <v>63</v>
      </c>
      <c r="HK3" s="9" t="s">
        <v>64</v>
      </c>
      <c r="HL3" s="10" t="s">
        <v>63</v>
      </c>
      <c r="HM3" s="10" t="s">
        <v>64</v>
      </c>
      <c r="HN3" s="11" t="s">
        <v>63</v>
      </c>
      <c r="HO3" s="11" t="s">
        <v>64</v>
      </c>
      <c r="HP3" s="12"/>
      <c r="HQ3" s="12"/>
      <c r="HR3" s="13"/>
      <c r="HS3" s="9" t="s">
        <v>63</v>
      </c>
      <c r="HT3" s="9" t="s">
        <v>64</v>
      </c>
      <c r="HU3" s="10" t="s">
        <v>63</v>
      </c>
      <c r="HV3" s="10" t="s">
        <v>64</v>
      </c>
      <c r="HW3" s="11" t="s">
        <v>63</v>
      </c>
      <c r="HX3" s="11" t="s">
        <v>64</v>
      </c>
      <c r="HY3" s="12"/>
      <c r="HZ3" s="12"/>
      <c r="IA3" s="13"/>
      <c r="IB3" s="9" t="s">
        <v>63</v>
      </c>
      <c r="IC3" s="9" t="s">
        <v>64</v>
      </c>
      <c r="ID3" s="10" t="s">
        <v>63</v>
      </c>
      <c r="IE3" s="10" t="s">
        <v>64</v>
      </c>
      <c r="IF3" s="11" t="s">
        <v>63</v>
      </c>
      <c r="IG3" s="11" t="s">
        <v>64</v>
      </c>
      <c r="IH3" s="12"/>
      <c r="II3" s="12"/>
      <c r="IJ3" s="13"/>
      <c r="IK3" s="9" t="s">
        <v>63</v>
      </c>
      <c r="IL3" s="9" t="s">
        <v>64</v>
      </c>
      <c r="IM3" s="10" t="s">
        <v>63</v>
      </c>
      <c r="IN3" s="10" t="s">
        <v>64</v>
      </c>
      <c r="IO3" s="11" t="s">
        <v>63</v>
      </c>
      <c r="IP3" s="11" t="s">
        <v>64</v>
      </c>
      <c r="IQ3" s="12"/>
      <c r="IR3" s="12"/>
      <c r="IS3" s="13"/>
      <c r="IT3" s="9" t="s">
        <v>63</v>
      </c>
      <c r="IU3" s="9" t="s">
        <v>64</v>
      </c>
      <c r="IV3" s="10" t="s">
        <v>63</v>
      </c>
      <c r="IW3" s="10" t="s">
        <v>64</v>
      </c>
      <c r="IX3" s="11" t="s">
        <v>63</v>
      </c>
      <c r="IY3" s="11" t="s">
        <v>64</v>
      </c>
      <c r="IZ3" s="12"/>
      <c r="JA3" s="12"/>
      <c r="JB3" s="13"/>
      <c r="JC3" s="9" t="s">
        <v>63</v>
      </c>
      <c r="JD3" s="9" t="s">
        <v>64</v>
      </c>
      <c r="JE3" s="10" t="s">
        <v>63</v>
      </c>
      <c r="JF3" s="10" t="s">
        <v>64</v>
      </c>
      <c r="JG3" s="11" t="s">
        <v>63</v>
      </c>
      <c r="JH3" s="11" t="s">
        <v>64</v>
      </c>
      <c r="JI3" s="12"/>
      <c r="JJ3" s="12"/>
      <c r="JK3" s="13"/>
      <c r="JL3" s="9" t="s">
        <v>63</v>
      </c>
      <c r="JM3" s="9" t="s">
        <v>64</v>
      </c>
      <c r="JN3" s="10" t="s">
        <v>63</v>
      </c>
      <c r="JO3" s="10" t="s">
        <v>64</v>
      </c>
      <c r="JP3" s="11" t="s">
        <v>63</v>
      </c>
      <c r="JQ3" s="11" t="s">
        <v>64</v>
      </c>
      <c r="JR3" s="12"/>
      <c r="JS3" s="12"/>
      <c r="JT3" s="13"/>
      <c r="JU3" s="9" t="s">
        <v>63</v>
      </c>
      <c r="JV3" s="9" t="s">
        <v>64</v>
      </c>
      <c r="JW3" s="10" t="s">
        <v>63</v>
      </c>
      <c r="JX3" s="10" t="s">
        <v>64</v>
      </c>
      <c r="JY3" s="11" t="s">
        <v>63</v>
      </c>
      <c r="JZ3" s="11" t="s">
        <v>64</v>
      </c>
      <c r="KA3" s="12"/>
      <c r="KB3" s="12"/>
      <c r="KC3" s="13"/>
      <c r="KD3" s="9" t="s">
        <v>63</v>
      </c>
      <c r="KE3" s="9" t="s">
        <v>64</v>
      </c>
      <c r="KF3" s="10" t="s">
        <v>63</v>
      </c>
      <c r="KG3" s="10" t="s">
        <v>64</v>
      </c>
      <c r="KH3" s="11" t="s">
        <v>63</v>
      </c>
      <c r="KI3" s="11" t="s">
        <v>64</v>
      </c>
      <c r="KJ3" s="12"/>
      <c r="KK3" s="12"/>
      <c r="KL3" s="13"/>
      <c r="KM3" s="9" t="s">
        <v>63</v>
      </c>
      <c r="KN3" s="9" t="s">
        <v>64</v>
      </c>
      <c r="KO3" s="10" t="s">
        <v>63</v>
      </c>
      <c r="KP3" s="10" t="s">
        <v>64</v>
      </c>
      <c r="KQ3" s="11" t="s">
        <v>63</v>
      </c>
      <c r="KR3" s="11" t="s">
        <v>64</v>
      </c>
      <c r="KS3" s="12"/>
      <c r="KT3" s="12"/>
      <c r="KU3" s="13"/>
      <c r="KV3" s="9" t="s">
        <v>63</v>
      </c>
      <c r="KW3" s="9" t="s">
        <v>64</v>
      </c>
      <c r="KX3" s="10" t="s">
        <v>63</v>
      </c>
      <c r="KY3" s="10" t="s">
        <v>64</v>
      </c>
      <c r="KZ3" s="11" t="s">
        <v>63</v>
      </c>
      <c r="LA3" s="11" t="s">
        <v>64</v>
      </c>
      <c r="LB3" s="12"/>
      <c r="LC3" s="12"/>
      <c r="LD3" s="13"/>
      <c r="LE3" s="9" t="s">
        <v>63</v>
      </c>
      <c r="LF3" s="9" t="s">
        <v>64</v>
      </c>
      <c r="LG3" s="10" t="s">
        <v>63</v>
      </c>
      <c r="LH3" s="10" t="s">
        <v>64</v>
      </c>
      <c r="LI3" s="11" t="s">
        <v>63</v>
      </c>
      <c r="LJ3" s="11" t="s">
        <v>64</v>
      </c>
      <c r="LK3" s="12"/>
      <c r="LL3" s="12"/>
      <c r="LM3" s="13"/>
      <c r="LN3" s="9" t="s">
        <v>63</v>
      </c>
      <c r="LO3" s="9" t="s">
        <v>64</v>
      </c>
      <c r="LP3" s="10" t="s">
        <v>63</v>
      </c>
      <c r="LQ3" s="10" t="s">
        <v>64</v>
      </c>
      <c r="LR3" s="11" t="s">
        <v>63</v>
      </c>
      <c r="LS3" s="11" t="s">
        <v>64</v>
      </c>
      <c r="LT3" s="12"/>
      <c r="LU3" s="12"/>
      <c r="LV3" s="13"/>
      <c r="LW3" s="9" t="s">
        <v>63</v>
      </c>
      <c r="LX3" s="9" t="s">
        <v>64</v>
      </c>
      <c r="LY3" s="10" t="s">
        <v>63</v>
      </c>
      <c r="LZ3" s="10" t="s">
        <v>64</v>
      </c>
      <c r="MA3" s="11" t="s">
        <v>63</v>
      </c>
      <c r="MB3" s="11" t="s">
        <v>64</v>
      </c>
      <c r="MC3" s="12"/>
      <c r="MD3" s="12"/>
      <c r="ME3" s="13"/>
      <c r="MF3" s="9" t="s">
        <v>63</v>
      </c>
      <c r="MG3" s="9" t="s">
        <v>64</v>
      </c>
      <c r="MH3" s="10" t="s">
        <v>63</v>
      </c>
      <c r="MI3" s="10" t="s">
        <v>64</v>
      </c>
      <c r="MJ3" s="11" t="s">
        <v>63</v>
      </c>
      <c r="MK3" s="11" t="s">
        <v>64</v>
      </c>
      <c r="ML3" s="12"/>
      <c r="MM3" s="12"/>
      <c r="MN3" s="13"/>
      <c r="MO3" s="9" t="s">
        <v>63</v>
      </c>
      <c r="MP3" s="9" t="s">
        <v>64</v>
      </c>
      <c r="MQ3" s="10" t="s">
        <v>63</v>
      </c>
      <c r="MR3" s="10" t="s">
        <v>64</v>
      </c>
      <c r="MS3" s="11" t="s">
        <v>63</v>
      </c>
      <c r="MT3" s="11" t="s">
        <v>64</v>
      </c>
      <c r="MU3" s="12"/>
      <c r="MV3" s="12"/>
      <c r="MW3" s="13"/>
      <c r="MX3" s="9" t="s">
        <v>63</v>
      </c>
      <c r="MY3" s="9" t="s">
        <v>64</v>
      </c>
      <c r="MZ3" s="10" t="s">
        <v>63</v>
      </c>
      <c r="NA3" s="10" t="s">
        <v>64</v>
      </c>
      <c r="NB3" s="11" t="s">
        <v>63</v>
      </c>
      <c r="NC3" s="11" t="s">
        <v>64</v>
      </c>
      <c r="ND3" s="12"/>
      <c r="NE3" s="12"/>
      <c r="NF3" s="13"/>
      <c r="NG3" s="9" t="s">
        <v>63</v>
      </c>
      <c r="NH3" s="9" t="s">
        <v>64</v>
      </c>
      <c r="NI3" s="10" t="s">
        <v>63</v>
      </c>
      <c r="NJ3" s="10" t="s">
        <v>64</v>
      </c>
      <c r="NK3" s="11" t="s">
        <v>63</v>
      </c>
      <c r="NL3" s="11" t="s">
        <v>64</v>
      </c>
      <c r="NM3" s="12"/>
      <c r="NN3" s="12"/>
      <c r="NO3" s="13"/>
      <c r="NP3" s="9" t="s">
        <v>63</v>
      </c>
      <c r="NQ3" s="9" t="s">
        <v>64</v>
      </c>
      <c r="NR3" s="10" t="s">
        <v>63</v>
      </c>
      <c r="NS3" s="10" t="s">
        <v>64</v>
      </c>
      <c r="NT3" s="11" t="s">
        <v>63</v>
      </c>
      <c r="NU3" s="11" t="s">
        <v>64</v>
      </c>
      <c r="NV3" s="12"/>
      <c r="NW3" s="12"/>
      <c r="NX3" s="13"/>
      <c r="NY3" s="9" t="s">
        <v>63</v>
      </c>
      <c r="NZ3" s="9" t="s">
        <v>64</v>
      </c>
      <c r="OA3" s="10" t="s">
        <v>63</v>
      </c>
      <c r="OB3" s="10" t="s">
        <v>64</v>
      </c>
      <c r="OC3" s="11" t="s">
        <v>63</v>
      </c>
      <c r="OD3" s="11" t="s">
        <v>64</v>
      </c>
      <c r="OE3" s="12"/>
      <c r="OF3" s="12"/>
      <c r="OG3" s="13"/>
      <c r="OH3" s="9" t="s">
        <v>63</v>
      </c>
      <c r="OI3" s="9" t="s">
        <v>64</v>
      </c>
      <c r="OJ3" s="10" t="s">
        <v>63</v>
      </c>
      <c r="OK3" s="10" t="s">
        <v>64</v>
      </c>
      <c r="OL3" s="11" t="s">
        <v>63</v>
      </c>
      <c r="OM3" s="11" t="s">
        <v>64</v>
      </c>
      <c r="ON3" s="12"/>
      <c r="OO3" s="12"/>
      <c r="OP3" s="13"/>
      <c r="OQ3" s="9" t="s">
        <v>63</v>
      </c>
      <c r="OR3" s="9" t="s">
        <v>64</v>
      </c>
      <c r="OS3" s="10" t="s">
        <v>63</v>
      </c>
      <c r="OT3" s="10" t="s">
        <v>64</v>
      </c>
      <c r="OU3" s="11" t="s">
        <v>63</v>
      </c>
      <c r="OV3" s="11" t="s">
        <v>64</v>
      </c>
      <c r="OW3" s="12"/>
      <c r="OX3" s="12"/>
      <c r="OY3" s="13"/>
      <c r="OZ3" s="14" t="s">
        <v>63</v>
      </c>
      <c r="PA3" s="14" t="s">
        <v>64</v>
      </c>
      <c r="PB3" s="15" t="s">
        <v>63</v>
      </c>
      <c r="PC3" s="15" t="s">
        <v>64</v>
      </c>
      <c r="PD3" s="16" t="s">
        <v>63</v>
      </c>
      <c r="PE3" s="16" t="s">
        <v>64</v>
      </c>
      <c r="PF3" s="17"/>
      <c r="PG3" s="17"/>
      <c r="PH3" s="18"/>
    </row>
    <row r="4" spans="1:424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  <c r="K4" s="24"/>
      <c r="L4" s="24"/>
      <c r="M4" s="24"/>
      <c r="N4" s="24"/>
      <c r="O4" s="24"/>
      <c r="P4" s="24"/>
      <c r="Q4" s="24"/>
      <c r="R4" s="24"/>
      <c r="S4" s="38"/>
      <c r="T4" s="24"/>
      <c r="U4" s="24"/>
      <c r="V4" s="24"/>
      <c r="W4" s="24"/>
      <c r="X4" s="24"/>
      <c r="Y4" s="24"/>
      <c r="Z4" s="24"/>
      <c r="AA4" s="24"/>
      <c r="AB4" s="38"/>
      <c r="AC4" s="24"/>
      <c r="AD4" s="24"/>
      <c r="AE4" s="24"/>
      <c r="AF4" s="24"/>
      <c r="AG4" s="24"/>
      <c r="AH4" s="24"/>
      <c r="AI4" s="24"/>
      <c r="AJ4" s="24"/>
      <c r="AK4" s="38"/>
      <c r="AL4" s="24"/>
      <c r="AM4" s="24"/>
      <c r="AN4" s="24"/>
      <c r="AO4" s="24"/>
      <c r="AP4" s="24"/>
      <c r="AQ4" s="24"/>
      <c r="AR4" s="24"/>
      <c r="AS4" s="24"/>
      <c r="AT4" s="38"/>
      <c r="AU4" s="24"/>
      <c r="AV4" s="24"/>
      <c r="AW4" s="24"/>
      <c r="AX4" s="24"/>
      <c r="AY4" s="24"/>
      <c r="AZ4" s="24"/>
      <c r="BA4" s="24"/>
      <c r="BB4" s="24"/>
      <c r="BC4" s="38"/>
      <c r="BD4" s="24"/>
      <c r="BE4" s="24"/>
      <c r="BF4" s="24"/>
      <c r="BG4" s="24"/>
      <c r="BH4" s="24"/>
      <c r="BI4" s="24"/>
      <c r="BJ4" s="24"/>
      <c r="BK4" s="24"/>
      <c r="BL4" s="38"/>
      <c r="BM4" s="24"/>
      <c r="BN4" s="24"/>
      <c r="BO4" s="24"/>
      <c r="BP4" s="24"/>
      <c r="BQ4" s="24"/>
      <c r="BR4" s="24"/>
      <c r="BS4" s="24"/>
      <c r="BT4" s="24"/>
      <c r="BU4" s="38"/>
      <c r="BV4" s="24"/>
      <c r="BW4" s="24"/>
      <c r="BX4" s="24"/>
      <c r="BY4" s="24"/>
      <c r="BZ4" s="24"/>
      <c r="CA4" s="24"/>
      <c r="CB4" s="24"/>
      <c r="CC4" s="24"/>
      <c r="CD4" s="38"/>
      <c r="CE4" s="24"/>
      <c r="CF4" s="24"/>
      <c r="CG4" s="24"/>
      <c r="CH4" s="24"/>
      <c r="CI4" s="24"/>
      <c r="CJ4" s="24"/>
      <c r="CK4" s="24"/>
      <c r="CL4" s="24"/>
      <c r="CM4" s="38"/>
      <c r="CN4" s="24"/>
      <c r="CO4" s="24"/>
      <c r="CP4" s="24"/>
      <c r="CQ4" s="24"/>
      <c r="CR4" s="24"/>
      <c r="CS4" s="24"/>
      <c r="CT4" s="24"/>
      <c r="CU4" s="24"/>
      <c r="CV4" s="38"/>
      <c r="CW4" s="24"/>
      <c r="CX4" s="24"/>
      <c r="CY4" s="24"/>
      <c r="CZ4" s="24"/>
      <c r="DA4" s="24"/>
      <c r="DB4" s="24"/>
      <c r="DC4" s="24"/>
      <c r="DD4" s="24"/>
      <c r="DE4" s="38"/>
      <c r="DF4" s="24"/>
      <c r="DG4" s="24"/>
      <c r="DH4" s="24"/>
      <c r="DI4" s="24"/>
      <c r="DJ4" s="24"/>
      <c r="DK4" s="24"/>
      <c r="DL4" s="24"/>
      <c r="DM4" s="24"/>
      <c r="DN4" s="38"/>
      <c r="DO4" s="24"/>
      <c r="DP4" s="24"/>
      <c r="DQ4" s="24"/>
      <c r="DR4" s="24"/>
      <c r="DS4" s="24"/>
      <c r="DT4" s="24"/>
      <c r="DU4" s="24"/>
      <c r="DV4" s="24"/>
      <c r="DW4" s="38"/>
      <c r="DX4" s="24"/>
      <c r="DY4" s="24"/>
      <c r="DZ4" s="24"/>
      <c r="EA4" s="24"/>
      <c r="EB4" s="24"/>
      <c r="EC4" s="24"/>
      <c r="ED4" s="24"/>
      <c r="EE4" s="24"/>
      <c r="EF4" s="38"/>
      <c r="EG4" s="24"/>
      <c r="EH4" s="24"/>
      <c r="EI4" s="24"/>
      <c r="EJ4" s="24"/>
      <c r="EK4" s="24"/>
      <c r="EL4" s="24"/>
      <c r="EM4" s="24"/>
      <c r="EN4" s="24"/>
      <c r="EO4" s="38"/>
      <c r="EP4" s="24"/>
      <c r="EQ4" s="24"/>
      <c r="ER4" s="24"/>
      <c r="ES4" s="24"/>
      <c r="ET4" s="24"/>
      <c r="EU4" s="24"/>
      <c r="EV4" s="24"/>
      <c r="EW4" s="24"/>
      <c r="EX4" s="38"/>
      <c r="EY4" s="24"/>
      <c r="EZ4" s="24"/>
      <c r="FA4" s="24"/>
      <c r="FB4" s="24"/>
      <c r="FC4" s="24"/>
      <c r="FD4" s="24"/>
      <c r="FE4" s="24"/>
      <c r="FF4" s="24"/>
      <c r="FG4" s="38"/>
      <c r="FH4" s="24"/>
      <c r="FI4" s="24"/>
      <c r="FJ4" s="24"/>
      <c r="FK4" s="24"/>
      <c r="FL4" s="24"/>
      <c r="FM4" s="24"/>
      <c r="FN4" s="24"/>
      <c r="FO4" s="24"/>
      <c r="FP4" s="38"/>
      <c r="FQ4" s="24"/>
      <c r="FR4" s="24"/>
      <c r="FS4" s="24"/>
      <c r="FT4" s="24"/>
      <c r="FU4" s="24"/>
      <c r="FV4" s="24"/>
      <c r="FW4" s="24"/>
      <c r="FX4" s="24"/>
      <c r="FY4" s="38"/>
      <c r="FZ4" s="24"/>
      <c r="GA4" s="24"/>
      <c r="GB4" s="24"/>
      <c r="GC4" s="24"/>
      <c r="GD4" s="24"/>
      <c r="GE4" s="24"/>
      <c r="GF4" s="24"/>
      <c r="GG4" s="24"/>
      <c r="GH4" s="38"/>
      <c r="GI4" s="24"/>
      <c r="GJ4" s="24"/>
      <c r="GK4" s="24"/>
      <c r="GL4" s="24"/>
      <c r="GM4" s="24"/>
      <c r="GN4" s="24"/>
      <c r="GO4" s="24"/>
      <c r="GP4" s="24"/>
      <c r="GQ4" s="38"/>
      <c r="GR4" s="24"/>
      <c r="GS4" s="24"/>
      <c r="GT4" s="24"/>
      <c r="GU4" s="24"/>
      <c r="GV4" s="24"/>
      <c r="GW4" s="24"/>
      <c r="GX4" s="24"/>
      <c r="GY4" s="24"/>
      <c r="GZ4" s="38"/>
      <c r="HA4" s="24"/>
      <c r="HB4" s="24"/>
      <c r="HC4" s="24"/>
      <c r="HD4" s="24"/>
      <c r="HE4" s="24"/>
      <c r="HF4" s="24"/>
      <c r="HG4" s="24"/>
      <c r="HH4" s="24"/>
      <c r="HI4" s="38"/>
      <c r="HJ4" s="24"/>
      <c r="HK4" s="24"/>
      <c r="HL4" s="24"/>
      <c r="HM4" s="24"/>
      <c r="HN4" s="24"/>
      <c r="HO4" s="24"/>
      <c r="HP4" s="24"/>
      <c r="HQ4" s="24"/>
      <c r="HR4" s="38"/>
      <c r="HS4" s="24"/>
      <c r="HT4" s="24"/>
      <c r="HU4" s="24"/>
      <c r="HV4" s="24"/>
      <c r="HW4" s="24"/>
      <c r="HX4" s="24"/>
      <c r="HY4" s="24"/>
      <c r="HZ4" s="24"/>
      <c r="IA4" s="38"/>
      <c r="IB4" s="24"/>
      <c r="IC4" s="24"/>
      <c r="ID4" s="24"/>
      <c r="IE4" s="24"/>
      <c r="IF4" s="24"/>
      <c r="IG4" s="24"/>
      <c r="IH4" s="24"/>
      <c r="II4" s="24"/>
      <c r="IJ4" s="38"/>
      <c r="IK4" s="24"/>
      <c r="IL4" s="24"/>
      <c r="IM4" s="24"/>
      <c r="IN4" s="24"/>
      <c r="IO4" s="24"/>
      <c r="IP4" s="24"/>
      <c r="IQ4" s="24"/>
      <c r="IR4" s="24"/>
      <c r="IS4" s="38"/>
      <c r="IT4" s="24"/>
      <c r="IU4" s="24"/>
      <c r="IV4" s="24"/>
      <c r="IW4" s="24"/>
      <c r="IX4" s="24"/>
      <c r="IY4" s="24"/>
      <c r="IZ4" s="24"/>
      <c r="JA4" s="24"/>
      <c r="JB4" s="38"/>
      <c r="JC4" s="24"/>
      <c r="JD4" s="24"/>
      <c r="JE4" s="24"/>
      <c r="JF4" s="24"/>
      <c r="JG4" s="24"/>
      <c r="JH4" s="24"/>
      <c r="JI4" s="24"/>
      <c r="JJ4" s="24"/>
      <c r="JK4" s="38"/>
      <c r="JL4" s="24"/>
      <c r="JM4" s="24"/>
      <c r="JN4" s="24"/>
      <c r="JO4" s="24"/>
      <c r="JP4" s="24"/>
      <c r="JQ4" s="24"/>
      <c r="JR4" s="24"/>
      <c r="JS4" s="24"/>
      <c r="JT4" s="38"/>
      <c r="JU4" s="24"/>
      <c r="JV4" s="24"/>
      <c r="JW4" s="24"/>
      <c r="JX4" s="24"/>
      <c r="JY4" s="24"/>
      <c r="JZ4" s="24"/>
      <c r="KA4" s="24"/>
      <c r="KB4" s="24"/>
      <c r="KC4" s="38"/>
      <c r="KD4" s="24"/>
      <c r="KE4" s="24"/>
      <c r="KF4" s="24"/>
      <c r="KG4" s="24"/>
      <c r="KH4" s="24"/>
      <c r="KI4" s="24"/>
      <c r="KJ4" s="24"/>
      <c r="KK4" s="24"/>
      <c r="KL4" s="38"/>
      <c r="KM4" s="24"/>
      <c r="KN4" s="24"/>
      <c r="KO4" s="24"/>
      <c r="KP4" s="24"/>
      <c r="KQ4" s="24"/>
      <c r="KR4" s="24"/>
      <c r="KS4" s="24"/>
      <c r="KT4" s="24"/>
      <c r="KU4" s="38"/>
      <c r="KV4" s="24"/>
      <c r="KW4" s="24"/>
      <c r="KX4" s="24"/>
      <c r="KY4" s="24"/>
      <c r="KZ4" s="24"/>
      <c r="LA4" s="24"/>
      <c r="LB4" s="24"/>
      <c r="LC4" s="24"/>
      <c r="LD4" s="38"/>
      <c r="LE4" s="24"/>
      <c r="LF4" s="24"/>
      <c r="LG4" s="24"/>
      <c r="LH4" s="24"/>
      <c r="LI4" s="24"/>
      <c r="LJ4" s="24"/>
      <c r="LK4" s="24"/>
      <c r="LL4" s="24"/>
      <c r="LM4" s="38"/>
      <c r="LN4" s="24"/>
      <c r="LO4" s="24"/>
      <c r="LP4" s="24"/>
      <c r="LQ4" s="24"/>
      <c r="LR4" s="24"/>
      <c r="LS4" s="24"/>
      <c r="LT4" s="24"/>
      <c r="LU4" s="24"/>
      <c r="LV4" s="38"/>
      <c r="LW4" s="24"/>
      <c r="LX4" s="24"/>
      <c r="LY4" s="24"/>
      <c r="LZ4" s="24"/>
      <c r="MA4" s="24"/>
      <c r="MB4" s="24"/>
      <c r="MC4" s="24"/>
      <c r="MD4" s="24"/>
      <c r="ME4" s="38"/>
      <c r="MF4" s="24"/>
      <c r="MG4" s="24"/>
      <c r="MH4" s="24"/>
      <c r="MI4" s="24"/>
      <c r="MJ4" s="24"/>
      <c r="MK4" s="24"/>
      <c r="ML4" s="24"/>
      <c r="MM4" s="24"/>
      <c r="MN4" s="38"/>
      <c r="MO4" s="24"/>
      <c r="MP4" s="24"/>
      <c r="MQ4" s="24"/>
      <c r="MR4" s="24"/>
      <c r="MS4" s="24"/>
      <c r="MT4" s="24"/>
      <c r="MU4" s="24"/>
      <c r="MV4" s="24"/>
      <c r="MW4" s="38"/>
      <c r="MX4" s="24"/>
      <c r="MY4" s="24"/>
      <c r="MZ4" s="24"/>
      <c r="NA4" s="24"/>
      <c r="NB4" s="24"/>
      <c r="NC4" s="24"/>
      <c r="ND4" s="24"/>
      <c r="NE4" s="24"/>
      <c r="NF4" s="38"/>
      <c r="NG4" s="24"/>
      <c r="NH4" s="24"/>
      <c r="NI4" s="24"/>
      <c r="NJ4" s="24"/>
      <c r="NK4" s="24"/>
      <c r="NL4" s="24"/>
      <c r="NM4" s="24"/>
      <c r="NN4" s="24"/>
      <c r="NO4" s="38"/>
      <c r="NP4" s="24"/>
      <c r="NQ4" s="24"/>
      <c r="NR4" s="24"/>
      <c r="NS4" s="24"/>
      <c r="NT4" s="24"/>
      <c r="NU4" s="24"/>
      <c r="NV4" s="24"/>
      <c r="NW4" s="24"/>
      <c r="NX4" s="38"/>
      <c r="NY4" s="24"/>
      <c r="NZ4" s="24"/>
      <c r="OA4" s="24"/>
      <c r="OB4" s="24"/>
      <c r="OC4" s="24"/>
      <c r="OD4" s="24"/>
      <c r="OE4" s="24"/>
      <c r="OF4" s="24"/>
      <c r="OG4" s="38"/>
      <c r="OH4" s="24"/>
      <c r="OI4" s="24"/>
      <c r="OJ4" s="24"/>
      <c r="OK4" s="24"/>
      <c r="OL4" s="24"/>
      <c r="OM4" s="24"/>
      <c r="ON4" s="24"/>
      <c r="OO4" s="24"/>
      <c r="OP4" s="38"/>
      <c r="OQ4" s="24"/>
      <c r="OR4" s="24"/>
      <c r="OS4" s="24"/>
      <c r="OT4" s="24"/>
      <c r="OU4" s="24"/>
      <c r="OV4" s="24"/>
      <c r="OW4" s="24"/>
      <c r="OX4" s="24"/>
      <c r="OY4" s="38"/>
    </row>
    <row r="5" spans="1:424" x14ac:dyDescent="0.2">
      <c r="A5" s="35" t="s">
        <v>72</v>
      </c>
      <c r="B5" s="24">
        <v>40</v>
      </c>
      <c r="C5" s="24">
        <v>3110000</v>
      </c>
      <c r="D5" s="24">
        <v>55</v>
      </c>
      <c r="E5" s="24">
        <v>4156800</v>
      </c>
      <c r="F5" s="24">
        <v>43</v>
      </c>
      <c r="G5" s="24">
        <v>1968040</v>
      </c>
      <c r="H5" s="24"/>
      <c r="I5" s="24">
        <v>410026</v>
      </c>
      <c r="J5" s="38"/>
      <c r="K5" s="24">
        <v>50</v>
      </c>
      <c r="L5" s="24">
        <v>20000000</v>
      </c>
      <c r="M5" s="24">
        <v>50</v>
      </c>
      <c r="N5" s="24">
        <v>14000000</v>
      </c>
      <c r="O5" s="24">
        <v>12</v>
      </c>
      <c r="P5" s="24">
        <v>6800000</v>
      </c>
      <c r="Q5" s="24">
        <v>20000000</v>
      </c>
      <c r="R5" s="24">
        <v>2400000</v>
      </c>
      <c r="S5" s="38">
        <v>0.12</v>
      </c>
      <c r="T5" s="24">
        <v>12</v>
      </c>
      <c r="U5" s="24">
        <v>3580000</v>
      </c>
      <c r="V5" s="24"/>
      <c r="W5" s="24"/>
      <c r="X5" s="24"/>
      <c r="Y5" s="24"/>
      <c r="Z5" s="24"/>
      <c r="AA5" s="24"/>
      <c r="AB5" s="38"/>
      <c r="AC5" s="24">
        <f>12+3</f>
        <v>15</v>
      </c>
      <c r="AD5" s="24">
        <f>3800000+900000</f>
        <v>4700000</v>
      </c>
      <c r="AE5" s="24"/>
      <c r="AF5" s="24"/>
      <c r="AG5" s="24">
        <f>13+8</f>
        <v>21</v>
      </c>
      <c r="AH5" s="24">
        <f>2277000+2379000</f>
        <v>4656000</v>
      </c>
      <c r="AI5" s="24"/>
      <c r="AJ5" s="24"/>
      <c r="AK5" s="38"/>
      <c r="AL5" s="24">
        <f>8+3</f>
        <v>11</v>
      </c>
      <c r="AM5" s="24">
        <f>2400000+1500000</f>
        <v>3900000</v>
      </c>
      <c r="AN5" s="24"/>
      <c r="AO5" s="24">
        <f>2322000+581000</f>
        <v>2903000</v>
      </c>
      <c r="AP5" s="24"/>
      <c r="AQ5" s="24">
        <f>2322000+3298000</f>
        <v>5620000</v>
      </c>
      <c r="AR5" s="24">
        <f>(2600000+3200000)/2</f>
        <v>2900000</v>
      </c>
      <c r="AS5" s="24">
        <f>281000+259000</f>
        <v>540000</v>
      </c>
      <c r="AT5" s="38">
        <f>(0.108+0.081)/2</f>
        <v>9.4500000000000001E-2</v>
      </c>
      <c r="AU5" s="24">
        <v>7</v>
      </c>
      <c r="AV5" s="24">
        <v>4800000</v>
      </c>
      <c r="AW5" s="24"/>
      <c r="AX5" s="24">
        <v>6126100</v>
      </c>
      <c r="AY5" s="24">
        <f>6+9</f>
        <v>15</v>
      </c>
      <c r="AZ5" s="24">
        <v>3297500</v>
      </c>
      <c r="BA5" s="24">
        <v>4628917</v>
      </c>
      <c r="BB5" s="24">
        <v>527000</v>
      </c>
      <c r="BC5" s="38"/>
      <c r="BD5" s="24">
        <f>3+7</f>
        <v>10</v>
      </c>
      <c r="BE5" s="24">
        <v>3350000</v>
      </c>
      <c r="BF5" s="24"/>
      <c r="BG5" s="24">
        <v>4213000</v>
      </c>
      <c r="BH5" s="24">
        <f>7+7</f>
        <v>14</v>
      </c>
      <c r="BI5" s="24">
        <v>2434500</v>
      </c>
      <c r="BJ5" s="24">
        <v>3236008</v>
      </c>
      <c r="BK5" s="24">
        <v>416000</v>
      </c>
      <c r="BL5" s="38"/>
      <c r="BM5" s="24">
        <v>36</v>
      </c>
      <c r="BN5" s="24">
        <v>19060000</v>
      </c>
      <c r="BO5" s="24">
        <v>12</v>
      </c>
      <c r="BP5" s="24">
        <v>7082174</v>
      </c>
      <c r="BQ5" s="24">
        <v>42</v>
      </c>
      <c r="BR5" s="24">
        <v>16210621</v>
      </c>
      <c r="BS5" s="24">
        <v>10750120</v>
      </c>
      <c r="BT5" s="24">
        <v>1516000</v>
      </c>
      <c r="BU5" s="38"/>
      <c r="BV5" s="24">
        <v>54</v>
      </c>
      <c r="BW5" s="24">
        <v>28709000</v>
      </c>
      <c r="BX5" s="24">
        <v>31</v>
      </c>
      <c r="BY5" s="24">
        <v>18091362</v>
      </c>
      <c r="BZ5" s="24">
        <v>65</v>
      </c>
      <c r="CA5" s="24">
        <v>26828259</v>
      </c>
      <c r="CB5" s="24">
        <v>24921166</v>
      </c>
      <c r="CC5" s="24">
        <v>3969000</v>
      </c>
      <c r="CD5" s="38"/>
      <c r="CE5" s="24"/>
      <c r="CF5" s="24"/>
      <c r="CG5" s="24"/>
      <c r="CH5" s="24"/>
      <c r="CI5" s="24"/>
      <c r="CJ5" s="24">
        <v>55658000</v>
      </c>
      <c r="CK5" s="24"/>
      <c r="CL5" s="24"/>
      <c r="CM5" s="38"/>
      <c r="CN5" s="24"/>
      <c r="CO5" s="24"/>
      <c r="CP5" s="24"/>
      <c r="CQ5" s="24"/>
      <c r="CR5" s="24"/>
      <c r="CS5" s="24">
        <v>78982000</v>
      </c>
      <c r="CT5" s="24"/>
      <c r="CU5" s="24"/>
      <c r="CV5" s="38"/>
      <c r="CW5" s="24"/>
      <c r="CX5" s="24"/>
      <c r="CY5" s="24"/>
      <c r="CZ5" s="24"/>
      <c r="DA5" s="24"/>
      <c r="DB5" s="24">
        <v>92191000</v>
      </c>
      <c r="DC5" s="24"/>
      <c r="DD5" s="24"/>
      <c r="DE5" s="38"/>
      <c r="DF5" s="24">
        <v>81</v>
      </c>
      <c r="DG5" s="24">
        <v>60407000</v>
      </c>
      <c r="DH5" s="24">
        <v>85</v>
      </c>
      <c r="DI5" s="24">
        <v>60134000</v>
      </c>
      <c r="DJ5" s="24">
        <v>188</v>
      </c>
      <c r="DK5" s="24">
        <v>92464000</v>
      </c>
      <c r="DL5" s="24">
        <v>92327000</v>
      </c>
      <c r="DM5" s="24">
        <v>18050000</v>
      </c>
      <c r="DN5" s="38">
        <v>0.19550000000000001</v>
      </c>
      <c r="DO5" s="24">
        <v>59</v>
      </c>
      <c r="DP5" s="24">
        <v>51610000</v>
      </c>
      <c r="DQ5" s="24">
        <v>86</v>
      </c>
      <c r="DR5" s="24">
        <v>57816299</v>
      </c>
      <c r="DS5" s="24">
        <v>161</v>
      </c>
      <c r="DT5" s="24">
        <v>85807719</v>
      </c>
      <c r="DU5" s="24">
        <v>83654417</v>
      </c>
      <c r="DV5" s="24">
        <v>14229823</v>
      </c>
      <c r="DW5" s="38">
        <v>0.1701</v>
      </c>
      <c r="DX5" s="24">
        <v>49</v>
      </c>
      <c r="DY5" s="24">
        <v>42955000</v>
      </c>
      <c r="DZ5" s="24">
        <v>79</v>
      </c>
      <c r="EA5" s="24">
        <v>50829625</v>
      </c>
      <c r="EB5" s="24">
        <v>131</v>
      </c>
      <c r="EC5" s="24">
        <v>77933094</v>
      </c>
      <c r="ED5" s="24">
        <v>86188227</v>
      </c>
      <c r="EE5" s="24">
        <v>13191004</v>
      </c>
      <c r="EF5" s="38">
        <v>0.153</v>
      </c>
      <c r="EG5" s="24">
        <v>36</v>
      </c>
      <c r="EH5" s="24">
        <v>37992002</v>
      </c>
      <c r="EI5" s="24">
        <v>66</v>
      </c>
      <c r="EJ5" s="24">
        <v>47434045</v>
      </c>
      <c r="EK5" s="24">
        <v>101</v>
      </c>
      <c r="EL5" s="24">
        <v>68491051</v>
      </c>
      <c r="EM5" s="24">
        <v>70981628</v>
      </c>
      <c r="EN5" s="24">
        <v>9777901</v>
      </c>
      <c r="EO5" s="38">
        <v>0.13769999999999999</v>
      </c>
      <c r="EP5" s="24">
        <v>60</v>
      </c>
      <c r="EQ5" s="24">
        <v>103316222</v>
      </c>
      <c r="ER5" s="24">
        <v>36</v>
      </c>
      <c r="ES5" s="24">
        <v>41282471</v>
      </c>
      <c r="ET5" s="24">
        <v>125</v>
      </c>
      <c r="EU5" s="24">
        <v>130543802</v>
      </c>
      <c r="EV5" s="24">
        <v>98007841</v>
      </c>
      <c r="EW5" s="24">
        <v>13274633</v>
      </c>
      <c r="EX5" s="38">
        <v>0.13539999999999999</v>
      </c>
      <c r="EY5" s="24">
        <v>139</v>
      </c>
      <c r="EZ5" s="24">
        <v>218939428</v>
      </c>
      <c r="FA5" s="24">
        <v>59</v>
      </c>
      <c r="FB5" s="24">
        <v>69066711</v>
      </c>
      <c r="FC5" s="24">
        <v>205</v>
      </c>
      <c r="FD5" s="24">
        <v>280416519</v>
      </c>
      <c r="FE5" s="24">
        <v>209133299</v>
      </c>
      <c r="FF5" s="24">
        <v>27306604</v>
      </c>
      <c r="FG5" s="38">
        <v>0.1305</v>
      </c>
      <c r="FH5" s="24">
        <v>194</v>
      </c>
      <c r="FI5" s="24">
        <v>379353181</v>
      </c>
      <c r="FJ5" s="24">
        <v>59</v>
      </c>
      <c r="FK5" s="24">
        <v>107368896</v>
      </c>
      <c r="FL5" s="24">
        <v>340</v>
      </c>
      <c r="FM5" s="24">
        <v>552400804</v>
      </c>
      <c r="FN5" s="24">
        <v>407669084</v>
      </c>
      <c r="FO5" s="24">
        <v>53071872</v>
      </c>
      <c r="FP5" s="38">
        <v>0.13009999999999999</v>
      </c>
      <c r="FQ5" s="24">
        <v>330</v>
      </c>
      <c r="FR5" s="24">
        <v>692888315</v>
      </c>
      <c r="FS5" s="24">
        <v>122</v>
      </c>
      <c r="FT5" s="24">
        <v>288008338</v>
      </c>
      <c r="FU5" s="24">
        <v>548</v>
      </c>
      <c r="FV5" s="24">
        <v>957280781</v>
      </c>
      <c r="FW5" s="24">
        <v>766945249</v>
      </c>
      <c r="FX5" s="24">
        <v>98609395</v>
      </c>
      <c r="FY5" s="38">
        <v>0.12859999999999999</v>
      </c>
      <c r="FZ5" s="24">
        <v>305</v>
      </c>
      <c r="GA5" s="24">
        <v>609741094</v>
      </c>
      <c r="GB5" s="24">
        <v>146</v>
      </c>
      <c r="GC5" s="24">
        <v>291379633</v>
      </c>
      <c r="GD5" s="24">
        <v>707</v>
      </c>
      <c r="GE5" s="24">
        <v>1275642242</v>
      </c>
      <c r="GF5" s="24">
        <v>1111295846</v>
      </c>
      <c r="GG5" s="24">
        <v>141979414</v>
      </c>
      <c r="GH5" s="38">
        <v>0.1278</v>
      </c>
      <c r="GI5" s="24">
        <v>280</v>
      </c>
      <c r="GJ5" s="24">
        <v>699384867</v>
      </c>
      <c r="GK5" s="24">
        <v>121</v>
      </c>
      <c r="GL5" s="24">
        <v>383696160</v>
      </c>
      <c r="GM5" s="24">
        <v>866</v>
      </c>
      <c r="GN5" s="24">
        <v>1591330949</v>
      </c>
      <c r="GO5" s="24">
        <v>1420632653</v>
      </c>
      <c r="GP5" s="24">
        <v>172471445</v>
      </c>
      <c r="GQ5" s="38">
        <v>0.12139999999999999</v>
      </c>
      <c r="GR5" s="24">
        <v>300</v>
      </c>
      <c r="GS5" s="24">
        <v>808804204</v>
      </c>
      <c r="GT5" s="24">
        <v>154</v>
      </c>
      <c r="GU5" s="24">
        <v>570594884</v>
      </c>
      <c r="GV5" s="24">
        <v>1012</v>
      </c>
      <c r="GW5" s="24">
        <v>1829540269</v>
      </c>
      <c r="GX5" s="24">
        <v>1702191769</v>
      </c>
      <c r="GY5" s="24">
        <v>198919443</v>
      </c>
      <c r="GZ5" s="38">
        <v>0.1169</v>
      </c>
      <c r="HA5" s="24">
        <v>530</v>
      </c>
      <c r="HB5" s="24">
        <v>1177907531</v>
      </c>
      <c r="HC5" s="24">
        <v>205</v>
      </c>
      <c r="HD5" s="24">
        <v>596614875</v>
      </c>
      <c r="HE5" s="24">
        <v>1337</v>
      </c>
      <c r="HF5" s="24">
        <v>2410832925</v>
      </c>
      <c r="HG5" s="24">
        <v>2058828785</v>
      </c>
      <c r="HH5" s="24">
        <v>224995594</v>
      </c>
      <c r="HI5" s="38">
        <v>0.10929999999999999</v>
      </c>
      <c r="HJ5" s="24">
        <v>518</v>
      </c>
      <c r="HK5" s="24">
        <v>1238129462</v>
      </c>
      <c r="HL5" s="24">
        <v>239</v>
      </c>
      <c r="HM5" s="24">
        <v>814220561</v>
      </c>
      <c r="HN5" s="24">
        <v>1616</v>
      </c>
      <c r="HO5" s="24">
        <v>2834741826</v>
      </c>
      <c r="HP5" s="24">
        <v>2654208728</v>
      </c>
      <c r="HQ5" s="24">
        <v>274871952</v>
      </c>
      <c r="HR5" s="38">
        <v>0.1036</v>
      </c>
      <c r="HS5" s="24"/>
      <c r="HT5" s="24"/>
      <c r="HU5" s="24"/>
      <c r="HV5" s="24"/>
      <c r="HW5" s="24"/>
      <c r="HX5" s="24"/>
      <c r="HY5" s="24"/>
      <c r="HZ5" s="24"/>
      <c r="IA5" s="38"/>
      <c r="IB5" s="24"/>
      <c r="IC5" s="24"/>
      <c r="ID5" s="24"/>
      <c r="IE5" s="24"/>
      <c r="IF5" s="24"/>
      <c r="IG5" s="24"/>
      <c r="IH5" s="24"/>
      <c r="II5" s="24"/>
      <c r="IJ5" s="38"/>
      <c r="IK5" s="24"/>
      <c r="IL5" s="24"/>
      <c r="IM5" s="24"/>
      <c r="IN5" s="24"/>
      <c r="IO5" s="24"/>
      <c r="IP5" s="24"/>
      <c r="IQ5" s="24"/>
      <c r="IR5" s="24"/>
      <c r="IS5" s="38"/>
      <c r="IT5" s="24"/>
      <c r="IU5" s="24"/>
      <c r="IV5" s="24"/>
      <c r="IW5" s="24"/>
      <c r="IX5" s="24"/>
      <c r="IY5" s="24"/>
      <c r="IZ5" s="24"/>
      <c r="JA5" s="24"/>
      <c r="JB5" s="38"/>
      <c r="JC5" s="24"/>
      <c r="JD5" s="24"/>
      <c r="JE5" s="24"/>
      <c r="JF5" s="24"/>
      <c r="JG5" s="24"/>
      <c r="JH5" s="24"/>
      <c r="JI5" s="24"/>
      <c r="JJ5" s="24"/>
      <c r="JK5" s="38"/>
      <c r="JL5" s="24"/>
      <c r="JM5" s="24"/>
      <c r="JN5" s="24"/>
      <c r="JO5" s="24"/>
      <c r="JP5" s="24"/>
      <c r="JQ5" s="24"/>
      <c r="JR5" s="24"/>
      <c r="JS5" s="24"/>
      <c r="JT5" s="38"/>
      <c r="JU5" s="24"/>
      <c r="JV5" s="24"/>
      <c r="JW5" s="24"/>
      <c r="JX5" s="24"/>
      <c r="JY5" s="24"/>
      <c r="JZ5" s="24"/>
      <c r="KA5" s="24"/>
      <c r="KB5" s="24"/>
      <c r="KC5" s="38"/>
      <c r="KD5" s="24"/>
      <c r="KE5" s="24"/>
      <c r="KF5" s="24"/>
      <c r="KG5" s="24"/>
      <c r="KH5" s="24"/>
      <c r="KI5" s="24"/>
      <c r="KJ5" s="24"/>
      <c r="KK5" s="24"/>
      <c r="KL5" s="38"/>
      <c r="KM5" s="24"/>
      <c r="KN5" s="24"/>
      <c r="KO5" s="24"/>
      <c r="KP5" s="24"/>
      <c r="KQ5" s="24"/>
      <c r="KR5" s="24"/>
      <c r="KS5" s="24"/>
      <c r="KT5" s="24"/>
      <c r="KU5" s="38"/>
      <c r="KV5" s="24"/>
      <c r="KW5" s="24"/>
      <c r="KX5" s="24"/>
      <c r="KY5" s="24"/>
      <c r="KZ5" s="24"/>
      <c r="LA5" s="24"/>
      <c r="LB5" s="24"/>
      <c r="LC5" s="24"/>
      <c r="LD5" s="38"/>
      <c r="LE5" s="24"/>
      <c r="LF5" s="24"/>
      <c r="LG5" s="24"/>
      <c r="LH5" s="24"/>
      <c r="LI5" s="24"/>
      <c r="LJ5" s="24"/>
      <c r="LK5" s="24"/>
      <c r="LL5" s="24"/>
      <c r="LM5" s="38"/>
      <c r="LN5" s="24"/>
      <c r="LO5" s="24"/>
      <c r="LP5" s="24"/>
      <c r="LQ5" s="24"/>
      <c r="LR5" s="24"/>
      <c r="LS5" s="24"/>
      <c r="LT5" s="24"/>
      <c r="LU5" s="24"/>
      <c r="LV5" s="38"/>
      <c r="LW5" s="24"/>
      <c r="LX5" s="24"/>
      <c r="LY5" s="24"/>
      <c r="LZ5" s="24"/>
      <c r="MA5" s="24"/>
      <c r="MB5" s="24"/>
      <c r="MC5" s="24"/>
      <c r="MD5" s="24"/>
      <c r="ME5" s="38"/>
      <c r="MF5" s="24"/>
      <c r="MG5" s="24"/>
      <c r="MH5" s="24"/>
      <c r="MI5" s="24"/>
      <c r="MJ5" s="24"/>
      <c r="MK5" s="24"/>
      <c r="ML5" s="24"/>
      <c r="MM5" s="24"/>
      <c r="MN5" s="38"/>
      <c r="MO5" s="24"/>
      <c r="MP5" s="24"/>
      <c r="MQ5" s="24"/>
      <c r="MR5" s="24"/>
      <c r="MS5" s="24"/>
      <c r="MT5" s="24"/>
      <c r="MU5" s="24"/>
      <c r="MV5" s="24"/>
      <c r="MW5" s="38"/>
      <c r="MX5" s="24"/>
      <c r="MY5" s="24"/>
      <c r="MZ5" s="24"/>
      <c r="NA5" s="24"/>
      <c r="NB5" s="24"/>
      <c r="NC5" s="24"/>
      <c r="ND5" s="24"/>
      <c r="NE5" s="24"/>
      <c r="NF5" s="38"/>
      <c r="NG5" s="24"/>
      <c r="NH5" s="24"/>
      <c r="NI5" s="24"/>
      <c r="NJ5" s="24"/>
      <c r="NK5" s="24"/>
      <c r="NL5" s="24"/>
      <c r="NM5" s="24"/>
      <c r="NN5" s="24"/>
      <c r="NO5" s="38"/>
      <c r="NP5" s="24"/>
      <c r="NQ5" s="24"/>
      <c r="NR5" s="24"/>
      <c r="NS5" s="24"/>
      <c r="NT5" s="24"/>
      <c r="NU5" s="24"/>
      <c r="NV5" s="24"/>
      <c r="NW5" s="24"/>
      <c r="NX5" s="38"/>
      <c r="NY5" s="24"/>
      <c r="NZ5" s="24"/>
      <c r="OA5" s="24"/>
      <c r="OB5" s="24"/>
      <c r="OC5" s="24"/>
      <c r="OD5" s="24"/>
      <c r="OE5" s="24"/>
      <c r="OF5" s="24"/>
      <c r="OG5" s="38"/>
      <c r="OH5" s="24"/>
      <c r="OI5" s="24"/>
      <c r="OJ5" s="24"/>
      <c r="OK5" s="24"/>
      <c r="OL5" s="24"/>
      <c r="OM5" s="24"/>
      <c r="ON5" s="24"/>
      <c r="OO5" s="24"/>
      <c r="OP5" s="38"/>
      <c r="OQ5" s="24"/>
      <c r="OR5" s="24"/>
      <c r="OS5" s="24"/>
      <c r="OT5" s="24"/>
      <c r="OU5" s="24"/>
      <c r="OV5" s="24"/>
      <c r="OW5" s="24"/>
      <c r="OX5" s="24"/>
      <c r="OY5" s="38"/>
    </row>
    <row r="6" spans="1:424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  <c r="K6" s="24"/>
      <c r="L6" s="24"/>
      <c r="M6" s="24"/>
      <c r="N6" s="24"/>
      <c r="O6" s="24"/>
      <c r="P6" s="24"/>
      <c r="Q6" s="24"/>
      <c r="R6" s="24"/>
      <c r="S6" s="38"/>
      <c r="T6" s="24"/>
      <c r="U6" s="24"/>
      <c r="V6" s="24"/>
      <c r="W6" s="24"/>
      <c r="X6" s="24"/>
      <c r="Y6" s="24"/>
      <c r="Z6" s="24"/>
      <c r="AA6" s="24"/>
      <c r="AB6" s="38"/>
      <c r="AC6" s="24"/>
      <c r="AD6" s="24"/>
      <c r="AE6" s="24"/>
      <c r="AF6" s="24"/>
      <c r="AG6" s="24"/>
      <c r="AH6" s="24"/>
      <c r="AI6" s="24"/>
      <c r="AJ6" s="24"/>
      <c r="AK6" s="38"/>
      <c r="AL6" s="24"/>
      <c r="AM6" s="24"/>
      <c r="AN6" s="24"/>
      <c r="AO6" s="24"/>
      <c r="AP6" s="24"/>
      <c r="AQ6" s="24"/>
      <c r="AR6" s="24"/>
      <c r="AS6" s="24"/>
      <c r="AT6" s="38"/>
      <c r="AU6" s="24"/>
      <c r="AV6" s="24"/>
      <c r="AW6" s="24"/>
      <c r="AX6" s="24"/>
      <c r="AY6" s="24"/>
      <c r="AZ6" s="24"/>
      <c r="BA6" s="24"/>
      <c r="BB6" s="24"/>
      <c r="BC6" s="38"/>
      <c r="BD6" s="24"/>
      <c r="BE6" s="24"/>
      <c r="BF6" s="24"/>
      <c r="BG6" s="24"/>
      <c r="BH6" s="24"/>
      <c r="BI6" s="24"/>
      <c r="BJ6" s="24"/>
      <c r="BK6" s="24"/>
      <c r="BL6" s="38"/>
      <c r="BM6" s="24"/>
      <c r="BN6" s="24"/>
      <c r="BO6" s="24"/>
      <c r="BP6" s="24"/>
      <c r="BQ6" s="24"/>
      <c r="BR6" s="24"/>
      <c r="BS6" s="24"/>
      <c r="BT6" s="24"/>
      <c r="BU6" s="38"/>
      <c r="BV6" s="24"/>
      <c r="BW6" s="24"/>
      <c r="BX6" s="24"/>
      <c r="BY6" s="24"/>
      <c r="BZ6" s="24"/>
      <c r="CA6" s="24"/>
      <c r="CB6" s="24"/>
      <c r="CC6" s="24"/>
      <c r="CD6" s="38"/>
      <c r="CE6" s="24"/>
      <c r="CF6" s="24"/>
      <c r="CG6" s="24"/>
      <c r="CH6" s="24"/>
      <c r="CI6" s="24"/>
      <c r="CJ6" s="24"/>
      <c r="CK6" s="24"/>
      <c r="CL6" s="24"/>
      <c r="CM6" s="38"/>
      <c r="CN6" s="24"/>
      <c r="CO6" s="24"/>
      <c r="CP6" s="24"/>
      <c r="CQ6" s="24"/>
      <c r="CR6" s="24"/>
      <c r="CS6" s="24"/>
      <c r="CT6" s="24"/>
      <c r="CU6" s="24"/>
      <c r="CV6" s="38"/>
      <c r="CW6" s="24"/>
      <c r="CX6" s="24"/>
      <c r="CY6" s="24"/>
      <c r="CZ6" s="24"/>
      <c r="DA6" s="24"/>
      <c r="DB6" s="24"/>
      <c r="DC6" s="24"/>
      <c r="DD6" s="24"/>
      <c r="DE6" s="38"/>
      <c r="DF6" s="24"/>
      <c r="DG6" s="24"/>
      <c r="DH6" s="24"/>
      <c r="DI6" s="24"/>
      <c r="DJ6" s="24"/>
      <c r="DK6" s="24"/>
      <c r="DL6" s="24"/>
      <c r="DM6" s="24"/>
      <c r="DN6" s="38"/>
      <c r="DO6" s="24"/>
      <c r="DP6" s="24"/>
      <c r="DQ6" s="24"/>
      <c r="DR6" s="24"/>
      <c r="DS6" s="24"/>
      <c r="DT6" s="24"/>
      <c r="DU6" s="24"/>
      <c r="DV6" s="24"/>
      <c r="DW6" s="38"/>
      <c r="DX6" s="24"/>
      <c r="DY6" s="24"/>
      <c r="DZ6" s="24"/>
      <c r="EA6" s="24"/>
      <c r="EB6" s="24"/>
      <c r="EC6" s="24"/>
      <c r="ED6" s="24"/>
      <c r="EE6" s="24"/>
      <c r="EF6" s="38"/>
      <c r="EG6" s="24"/>
      <c r="EH6" s="24"/>
      <c r="EI6" s="24"/>
      <c r="EJ6" s="24"/>
      <c r="EK6" s="24"/>
      <c r="EL6" s="24"/>
      <c r="EM6" s="24"/>
      <c r="EN6" s="24"/>
      <c r="EO6" s="38"/>
      <c r="EP6" s="24"/>
      <c r="EQ6" s="24"/>
      <c r="ER6" s="24"/>
      <c r="ES6" s="24"/>
      <c r="ET6" s="24"/>
      <c r="EU6" s="24"/>
      <c r="EV6" s="24"/>
      <c r="EW6" s="24"/>
      <c r="EX6" s="38"/>
      <c r="EY6" s="24"/>
      <c r="EZ6" s="24"/>
      <c r="FA6" s="24"/>
      <c r="FB6" s="24"/>
      <c r="FC6" s="24"/>
      <c r="FD6" s="24"/>
      <c r="FE6" s="24"/>
      <c r="FF6" s="24"/>
      <c r="FG6" s="38"/>
      <c r="FH6" s="24"/>
      <c r="FI6" s="24"/>
      <c r="FJ6" s="24"/>
      <c r="FK6" s="24"/>
      <c r="FL6" s="24"/>
      <c r="FM6" s="24"/>
      <c r="FN6" s="24"/>
      <c r="FO6" s="24"/>
      <c r="FP6" s="38"/>
      <c r="FQ6" s="24"/>
      <c r="FR6" s="24"/>
      <c r="FS6" s="24"/>
      <c r="FT6" s="24"/>
      <c r="FU6" s="24"/>
      <c r="FV6" s="24"/>
      <c r="FW6" s="24"/>
      <c r="FX6" s="24"/>
      <c r="FY6" s="38"/>
      <c r="FZ6" s="24"/>
      <c r="GA6" s="24"/>
      <c r="GB6" s="24"/>
      <c r="GC6" s="24"/>
      <c r="GD6" s="24"/>
      <c r="GE6" s="24"/>
      <c r="GF6" s="24"/>
      <c r="GG6" s="24"/>
      <c r="GH6" s="38"/>
      <c r="GI6" s="24"/>
      <c r="GJ6" s="24"/>
      <c r="GK6" s="24"/>
      <c r="GL6" s="24"/>
      <c r="GM6" s="24"/>
      <c r="GN6" s="24"/>
      <c r="GO6" s="24"/>
      <c r="GP6" s="24"/>
      <c r="GQ6" s="38"/>
      <c r="GR6" s="24"/>
      <c r="GS6" s="24"/>
      <c r="GT6" s="24"/>
      <c r="GU6" s="24"/>
      <c r="GV6" s="24"/>
      <c r="GW6" s="24"/>
      <c r="GX6" s="24"/>
      <c r="GY6" s="24"/>
      <c r="GZ6" s="38"/>
      <c r="HA6" s="24"/>
      <c r="HB6" s="24"/>
      <c r="HC6" s="24"/>
      <c r="HD6" s="24"/>
      <c r="HE6" s="24"/>
      <c r="HF6" s="24"/>
      <c r="HG6" s="24"/>
      <c r="HH6" s="24"/>
      <c r="HI6" s="38"/>
      <c r="HJ6" s="24"/>
      <c r="HK6" s="24"/>
      <c r="HL6" s="24"/>
      <c r="HM6" s="24"/>
      <c r="HN6" s="24"/>
      <c r="HO6" s="24"/>
      <c r="HP6" s="24"/>
      <c r="HQ6" s="24"/>
      <c r="HR6" s="38"/>
      <c r="HS6" s="24">
        <v>0</v>
      </c>
      <c r="HT6" s="24">
        <v>0</v>
      </c>
      <c r="HU6" s="24">
        <v>15</v>
      </c>
      <c r="HV6" s="24">
        <v>10257016</v>
      </c>
      <c r="HW6" s="24">
        <v>24</v>
      </c>
      <c r="HX6" s="24">
        <v>13675634</v>
      </c>
      <c r="HY6" s="24">
        <v>18636005</v>
      </c>
      <c r="HZ6" s="24">
        <v>2400497</v>
      </c>
      <c r="IA6" s="38">
        <v>0.1288</v>
      </c>
      <c r="IB6" s="24">
        <v>0</v>
      </c>
      <c r="IC6" s="24">
        <v>0</v>
      </c>
      <c r="ID6" s="24">
        <v>12</v>
      </c>
      <c r="IE6" s="24">
        <v>6218046</v>
      </c>
      <c r="IF6" s="24">
        <v>12</v>
      </c>
      <c r="IG6" s="24">
        <v>7457588</v>
      </c>
      <c r="IH6" s="24">
        <v>10149219</v>
      </c>
      <c r="II6" s="24">
        <v>1332716</v>
      </c>
      <c r="IJ6" s="38">
        <v>0.1313</v>
      </c>
      <c r="IK6" s="24">
        <v>0</v>
      </c>
      <c r="IL6" s="24">
        <v>0</v>
      </c>
      <c r="IM6" s="24">
        <v>2</v>
      </c>
      <c r="IN6" s="24">
        <v>2611638</v>
      </c>
      <c r="IO6" s="24">
        <v>10</v>
      </c>
      <c r="IP6" s="24">
        <v>4845950</v>
      </c>
      <c r="IQ6" s="24">
        <v>6065326</v>
      </c>
      <c r="IR6" s="24">
        <v>793788</v>
      </c>
      <c r="IS6" s="38">
        <v>0.13089999999999999</v>
      </c>
      <c r="IT6" s="24">
        <v>0</v>
      </c>
      <c r="IU6" s="24">
        <v>0</v>
      </c>
      <c r="IV6" s="24">
        <v>4</v>
      </c>
      <c r="IW6" s="24">
        <v>1992918</v>
      </c>
      <c r="IX6" s="24">
        <v>6</v>
      </c>
      <c r="IY6" s="24">
        <v>2853032</v>
      </c>
      <c r="IZ6" s="24">
        <v>3806986</v>
      </c>
      <c r="JA6" s="24">
        <v>474261</v>
      </c>
      <c r="JB6" s="38">
        <v>0.1246</v>
      </c>
      <c r="JC6" s="24">
        <v>0</v>
      </c>
      <c r="JD6" s="24">
        <v>0</v>
      </c>
      <c r="JE6" s="24">
        <v>1</v>
      </c>
      <c r="JF6" s="24">
        <v>1124296</v>
      </c>
      <c r="JG6" s="24">
        <v>5</v>
      </c>
      <c r="JH6" s="24">
        <v>1728736</v>
      </c>
      <c r="JI6" s="24">
        <v>2273223</v>
      </c>
      <c r="JJ6" s="24">
        <v>295488</v>
      </c>
      <c r="JK6" s="38">
        <v>0.13</v>
      </c>
      <c r="JL6" s="24">
        <v>0</v>
      </c>
      <c r="JM6" s="24">
        <v>0</v>
      </c>
      <c r="JN6" s="24">
        <v>2</v>
      </c>
      <c r="JO6" s="24">
        <v>628418</v>
      </c>
      <c r="JP6" s="24">
        <v>3</v>
      </c>
      <c r="JQ6" s="24">
        <v>1100318</v>
      </c>
      <c r="JR6" s="24">
        <v>1376368</v>
      </c>
      <c r="JS6" s="24">
        <v>182071</v>
      </c>
      <c r="JT6" s="38">
        <v>0.1323</v>
      </c>
      <c r="JU6" s="24">
        <v>0</v>
      </c>
      <c r="JV6" s="24">
        <v>0</v>
      </c>
      <c r="JW6" s="24">
        <v>1</v>
      </c>
      <c r="JX6" s="24">
        <v>615348</v>
      </c>
      <c r="JY6" s="24">
        <v>2</v>
      </c>
      <c r="JZ6" s="24">
        <v>484970</v>
      </c>
      <c r="KA6" s="24">
        <v>813522</v>
      </c>
      <c r="KB6" s="24">
        <v>109847</v>
      </c>
      <c r="KC6" s="38">
        <v>0.13500000000000001</v>
      </c>
      <c r="KD6" s="24">
        <v>0</v>
      </c>
      <c r="KE6" s="24">
        <v>0</v>
      </c>
      <c r="KF6" s="24">
        <v>1</v>
      </c>
      <c r="KG6" s="24">
        <v>464742</v>
      </c>
      <c r="KH6" s="24">
        <v>1</v>
      </c>
      <c r="KI6" s="24">
        <v>20228</v>
      </c>
      <c r="KJ6" s="24">
        <v>261957</v>
      </c>
      <c r="KK6" s="24">
        <v>37360</v>
      </c>
      <c r="KL6" s="38">
        <v>0.1426</v>
      </c>
      <c r="KM6" s="24">
        <v>0</v>
      </c>
      <c r="KN6" s="24">
        <v>0</v>
      </c>
      <c r="KO6" s="24">
        <v>1</v>
      </c>
      <c r="KP6" s="24">
        <v>20228</v>
      </c>
      <c r="KQ6" s="24">
        <v>0</v>
      </c>
      <c r="KR6" s="24">
        <v>0</v>
      </c>
      <c r="KS6" s="24">
        <v>1556</v>
      </c>
      <c r="KT6" s="24">
        <v>182</v>
      </c>
      <c r="KU6" s="38">
        <v>0.11700000000000001</v>
      </c>
      <c r="KV6" s="24"/>
      <c r="KW6" s="24"/>
      <c r="KX6" s="24"/>
      <c r="KY6" s="24"/>
      <c r="KZ6" s="24"/>
      <c r="LA6" s="24"/>
      <c r="LB6" s="24"/>
      <c r="LC6" s="24"/>
      <c r="LD6" s="38"/>
      <c r="LE6" s="24"/>
      <c r="LF6" s="24"/>
      <c r="LG6" s="24"/>
      <c r="LH6" s="24"/>
      <c r="LI6" s="24"/>
      <c r="LJ6" s="24"/>
      <c r="LK6" s="24"/>
      <c r="LL6" s="24"/>
      <c r="LM6" s="38"/>
      <c r="LN6" s="24"/>
      <c r="LO6" s="24"/>
      <c r="LP6" s="24"/>
      <c r="LQ6" s="24"/>
      <c r="LR6" s="24"/>
      <c r="LS6" s="24"/>
      <c r="LT6" s="24"/>
      <c r="LU6" s="24"/>
      <c r="LV6" s="38"/>
      <c r="LW6" s="24"/>
      <c r="LX6" s="24"/>
      <c r="LY6" s="24"/>
      <c r="LZ6" s="24"/>
      <c r="MA6" s="24"/>
      <c r="MB6" s="24"/>
      <c r="MC6" s="24"/>
      <c r="MD6" s="24"/>
      <c r="ME6" s="38"/>
      <c r="MF6" s="24"/>
      <c r="MG6" s="24"/>
      <c r="MH6" s="24"/>
      <c r="MI6" s="24"/>
      <c r="MJ6" s="24"/>
      <c r="MK6" s="24"/>
      <c r="ML6" s="24"/>
      <c r="MM6" s="24"/>
      <c r="MN6" s="38"/>
      <c r="MO6" s="24"/>
      <c r="MP6" s="24"/>
      <c r="MQ6" s="24"/>
      <c r="MR6" s="24"/>
      <c r="MS6" s="24"/>
      <c r="MT6" s="24"/>
      <c r="MU6" s="24"/>
      <c r="MV6" s="24"/>
      <c r="MW6" s="38"/>
      <c r="MX6" s="24"/>
      <c r="MY6" s="24"/>
      <c r="MZ6" s="24"/>
      <c r="NA6" s="24"/>
      <c r="NB6" s="24"/>
      <c r="NC6" s="24"/>
      <c r="ND6" s="24"/>
      <c r="NE6" s="24"/>
      <c r="NF6" s="38"/>
      <c r="NG6" s="24"/>
      <c r="NH6" s="24"/>
      <c r="NI6" s="24"/>
      <c r="NJ6" s="24"/>
      <c r="NK6" s="24"/>
      <c r="NL6" s="24"/>
      <c r="NM6" s="24"/>
      <c r="NN6" s="24"/>
      <c r="NO6" s="38"/>
      <c r="NP6" s="24"/>
      <c r="NQ6" s="24"/>
      <c r="NR6" s="24"/>
      <c r="NS6" s="24"/>
      <c r="NT6" s="24"/>
      <c r="NU6" s="24"/>
      <c r="NV6" s="24"/>
      <c r="NW6" s="24"/>
      <c r="NX6" s="38"/>
      <c r="NY6" s="24"/>
      <c r="NZ6" s="24"/>
      <c r="OA6" s="24"/>
      <c r="OB6" s="24"/>
      <c r="OC6" s="24"/>
      <c r="OD6" s="24"/>
      <c r="OE6" s="24"/>
      <c r="OF6" s="24"/>
      <c r="OG6" s="38"/>
      <c r="OH6" s="24"/>
      <c r="OI6" s="24"/>
      <c r="OJ6" s="24"/>
      <c r="OK6" s="24"/>
      <c r="OL6" s="24"/>
      <c r="OM6" s="24"/>
      <c r="ON6" s="24"/>
      <c r="OO6" s="24"/>
      <c r="OP6" s="38"/>
      <c r="OQ6" s="24"/>
      <c r="OR6" s="24"/>
      <c r="OS6" s="24"/>
      <c r="OT6" s="24"/>
      <c r="OU6" s="24"/>
      <c r="OV6" s="24"/>
      <c r="OW6" s="24"/>
      <c r="OX6" s="24"/>
      <c r="OY6" s="38"/>
    </row>
    <row r="7" spans="1:424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  <c r="K7" s="24"/>
      <c r="L7" s="24"/>
      <c r="M7" s="24"/>
      <c r="N7" s="24"/>
      <c r="O7" s="24"/>
      <c r="P7" s="24"/>
      <c r="Q7" s="24"/>
      <c r="R7" s="24"/>
      <c r="S7" s="38"/>
      <c r="T7" s="24"/>
      <c r="U7" s="24"/>
      <c r="V7" s="24"/>
      <c r="W7" s="24"/>
      <c r="X7" s="24"/>
      <c r="Y7" s="24"/>
      <c r="Z7" s="24"/>
      <c r="AA7" s="24"/>
      <c r="AB7" s="38"/>
      <c r="AC7" s="24"/>
      <c r="AD7" s="24"/>
      <c r="AE7" s="24"/>
      <c r="AF7" s="24"/>
      <c r="AG7" s="24"/>
      <c r="AH7" s="24"/>
      <c r="AI7" s="24"/>
      <c r="AJ7" s="24"/>
      <c r="AK7" s="38"/>
      <c r="AL7" s="24"/>
      <c r="AM7" s="24"/>
      <c r="AN7" s="24"/>
      <c r="AO7" s="24"/>
      <c r="AP7" s="24"/>
      <c r="AQ7" s="24"/>
      <c r="AR7" s="24"/>
      <c r="AS7" s="24"/>
      <c r="AT7" s="38"/>
      <c r="AU7" s="24"/>
      <c r="AV7" s="24"/>
      <c r="AW7" s="24"/>
      <c r="AX7" s="24"/>
      <c r="AY7" s="24"/>
      <c r="AZ7" s="24"/>
      <c r="BA7" s="24"/>
      <c r="BB7" s="24"/>
      <c r="BC7" s="38"/>
      <c r="BD7" s="24"/>
      <c r="BE7" s="24"/>
      <c r="BF7" s="24"/>
      <c r="BG7" s="24"/>
      <c r="BH7" s="24"/>
      <c r="BI7" s="24"/>
      <c r="BJ7" s="24"/>
      <c r="BK7" s="24"/>
      <c r="BL7" s="38"/>
      <c r="BM7" s="24"/>
      <c r="BN7" s="24"/>
      <c r="BO7" s="24"/>
      <c r="BP7" s="24"/>
      <c r="BQ7" s="24"/>
      <c r="BR7" s="24"/>
      <c r="BS7" s="24"/>
      <c r="BT7" s="24"/>
      <c r="BU7" s="38"/>
      <c r="BV7" s="24"/>
      <c r="BW7" s="24"/>
      <c r="BX7" s="24"/>
      <c r="BY7" s="24"/>
      <c r="BZ7" s="24"/>
      <c r="CA7" s="24"/>
      <c r="CB7" s="24"/>
      <c r="CC7" s="24"/>
      <c r="CD7" s="38"/>
      <c r="CE7" s="24"/>
      <c r="CF7" s="24"/>
      <c r="CG7" s="24"/>
      <c r="CH7" s="24"/>
      <c r="CI7" s="24"/>
      <c r="CJ7" s="24"/>
      <c r="CK7" s="24"/>
      <c r="CL7" s="24"/>
      <c r="CM7" s="38"/>
      <c r="CN7" s="24"/>
      <c r="CO7" s="24"/>
      <c r="CP7" s="24"/>
      <c r="CQ7" s="24"/>
      <c r="CR7" s="24"/>
      <c r="CS7" s="24"/>
      <c r="CT7" s="24"/>
      <c r="CU7" s="24"/>
      <c r="CV7" s="38"/>
      <c r="CW7" s="24"/>
      <c r="CX7" s="24"/>
      <c r="CY7" s="24"/>
      <c r="CZ7" s="24"/>
      <c r="DA7" s="24"/>
      <c r="DB7" s="24"/>
      <c r="DC7" s="24"/>
      <c r="DD7" s="24"/>
      <c r="DE7" s="38"/>
      <c r="DF7" s="24"/>
      <c r="DG7" s="24"/>
      <c r="DH7" s="24"/>
      <c r="DI7" s="24"/>
      <c r="DJ7" s="24"/>
      <c r="DK7" s="24"/>
      <c r="DL7" s="24"/>
      <c r="DM7" s="24"/>
      <c r="DN7" s="38"/>
      <c r="DO7" s="24"/>
      <c r="DP7" s="24"/>
      <c r="DQ7" s="24"/>
      <c r="DR7" s="24"/>
      <c r="DS7" s="24"/>
      <c r="DT7" s="24"/>
      <c r="DU7" s="24"/>
      <c r="DV7" s="24"/>
      <c r="DW7" s="38"/>
      <c r="DX7" s="24"/>
      <c r="DY7" s="24"/>
      <c r="DZ7" s="24"/>
      <c r="EA7" s="24"/>
      <c r="EB7" s="24"/>
      <c r="EC7" s="24"/>
      <c r="ED7" s="24"/>
      <c r="EE7" s="24"/>
      <c r="EF7" s="38"/>
      <c r="EG7" s="24"/>
      <c r="EH7" s="24"/>
      <c r="EI7" s="24"/>
      <c r="EJ7" s="24"/>
      <c r="EK7" s="24"/>
      <c r="EL7" s="24"/>
      <c r="EM7" s="24"/>
      <c r="EN7" s="24"/>
      <c r="EO7" s="38"/>
      <c r="EP7" s="24"/>
      <c r="EQ7" s="24"/>
      <c r="ER7" s="24"/>
      <c r="ES7" s="24"/>
      <c r="ET7" s="24"/>
      <c r="EU7" s="24"/>
      <c r="EV7" s="24"/>
      <c r="EW7" s="24"/>
      <c r="EX7" s="38"/>
      <c r="EY7" s="24"/>
      <c r="EZ7" s="24"/>
      <c r="FA7" s="24"/>
      <c r="FB7" s="24"/>
      <c r="FC7" s="24"/>
      <c r="FD7" s="24"/>
      <c r="FE7" s="24"/>
      <c r="FF7" s="24"/>
      <c r="FG7" s="38"/>
      <c r="FH7" s="24"/>
      <c r="FI7" s="24"/>
      <c r="FJ7" s="24"/>
      <c r="FK7" s="24"/>
      <c r="FL7" s="24"/>
      <c r="FM7" s="24"/>
      <c r="FN7" s="24"/>
      <c r="FO7" s="24"/>
      <c r="FP7" s="38"/>
      <c r="FQ7" s="24"/>
      <c r="FR7" s="24"/>
      <c r="FS7" s="24"/>
      <c r="FT7" s="24"/>
      <c r="FU7" s="24"/>
      <c r="FV7" s="24"/>
      <c r="FW7" s="24"/>
      <c r="FX7" s="24"/>
      <c r="FY7" s="38"/>
      <c r="FZ7" s="24"/>
      <c r="GA7" s="24"/>
      <c r="GB7" s="24"/>
      <c r="GC7" s="24"/>
      <c r="GD7" s="24"/>
      <c r="GE7" s="24"/>
      <c r="GF7" s="24"/>
      <c r="GG7" s="24"/>
      <c r="GH7" s="38"/>
      <c r="GI7" s="24"/>
      <c r="GJ7" s="24"/>
      <c r="GK7" s="24"/>
      <c r="GL7" s="24"/>
      <c r="GM7" s="24"/>
      <c r="GN7" s="24"/>
      <c r="GO7" s="24"/>
      <c r="GP7" s="24"/>
      <c r="GQ7" s="38"/>
      <c r="GR7" s="24"/>
      <c r="GS7" s="24"/>
      <c r="GT7" s="24"/>
      <c r="GU7" s="24"/>
      <c r="GV7" s="24"/>
      <c r="GW7" s="24"/>
      <c r="GX7" s="24"/>
      <c r="GY7" s="24"/>
      <c r="GZ7" s="38"/>
      <c r="HA7" s="24"/>
      <c r="HB7" s="24"/>
      <c r="HC7" s="24"/>
      <c r="HD7" s="24"/>
      <c r="HE7" s="24"/>
      <c r="HF7" s="24"/>
      <c r="HG7" s="24"/>
      <c r="HH7" s="24"/>
      <c r="HI7" s="38"/>
      <c r="HJ7" s="24"/>
      <c r="HK7" s="24"/>
      <c r="HL7" s="24"/>
      <c r="HM7" s="24"/>
      <c r="HN7" s="24"/>
      <c r="HO7" s="24"/>
      <c r="HP7" s="24"/>
      <c r="HQ7" s="24"/>
      <c r="HR7" s="38"/>
      <c r="HS7" s="24"/>
      <c r="HT7" s="24"/>
      <c r="HU7" s="24"/>
      <c r="HV7" s="24"/>
      <c r="HW7" s="24"/>
      <c r="HX7" s="24"/>
      <c r="HY7" s="24"/>
      <c r="HZ7" s="24"/>
      <c r="IA7" s="38"/>
      <c r="IB7" s="24"/>
      <c r="IC7" s="24"/>
      <c r="ID7" s="24"/>
      <c r="IE7" s="24"/>
      <c r="IF7" s="24"/>
      <c r="IG7" s="24"/>
      <c r="IH7" s="24"/>
      <c r="II7" s="24"/>
      <c r="IJ7" s="38"/>
      <c r="IK7" s="24"/>
      <c r="IL7" s="24"/>
      <c r="IM7" s="24"/>
      <c r="IN7" s="24"/>
      <c r="IO7" s="24"/>
      <c r="IP7" s="24"/>
      <c r="IQ7" s="24"/>
      <c r="IR7" s="24"/>
      <c r="IS7" s="38"/>
      <c r="IT7" s="24"/>
      <c r="IU7" s="24"/>
      <c r="IV7" s="24"/>
      <c r="IW7" s="24"/>
      <c r="IX7" s="24"/>
      <c r="IY7" s="24"/>
      <c r="IZ7" s="24"/>
      <c r="JA7" s="24"/>
      <c r="JB7" s="38"/>
      <c r="JC7" s="24"/>
      <c r="JD7" s="24"/>
      <c r="JE7" s="24"/>
      <c r="JF7" s="24"/>
      <c r="JG7" s="24"/>
      <c r="JH7" s="24"/>
      <c r="JI7" s="24"/>
      <c r="JJ7" s="24"/>
      <c r="JK7" s="38"/>
      <c r="JL7" s="24"/>
      <c r="JM7" s="24"/>
      <c r="JN7" s="24"/>
      <c r="JO7" s="24"/>
      <c r="JP7" s="24"/>
      <c r="JQ7" s="24"/>
      <c r="JR7" s="24"/>
      <c r="JS7" s="24"/>
      <c r="JT7" s="38"/>
      <c r="JU7" s="24"/>
      <c r="JV7" s="24"/>
      <c r="JW7" s="24"/>
      <c r="JX7" s="24"/>
      <c r="JY7" s="24"/>
      <c r="JZ7" s="24"/>
      <c r="KA7" s="24"/>
      <c r="KB7" s="24"/>
      <c r="KC7" s="38"/>
      <c r="KD7" s="24"/>
      <c r="KE7" s="24"/>
      <c r="KF7" s="24"/>
      <c r="KG7" s="24"/>
      <c r="KH7" s="24"/>
      <c r="KI7" s="24"/>
      <c r="KJ7" s="24"/>
      <c r="KK7" s="24"/>
      <c r="KL7" s="38"/>
      <c r="KM7" s="24"/>
      <c r="KN7" s="24"/>
      <c r="KO7" s="24"/>
      <c r="KP7" s="24"/>
      <c r="KQ7" s="24"/>
      <c r="KR7" s="24"/>
      <c r="KS7" s="24"/>
      <c r="KT7" s="24"/>
      <c r="KU7" s="38"/>
      <c r="KV7" s="24"/>
      <c r="KW7" s="24"/>
      <c r="KX7" s="24"/>
      <c r="KY7" s="24"/>
      <c r="KZ7" s="24"/>
      <c r="LA7" s="24"/>
      <c r="LB7" s="24"/>
      <c r="LC7" s="24"/>
      <c r="LD7" s="38"/>
      <c r="LE7" s="24"/>
      <c r="LF7" s="24"/>
      <c r="LG7" s="24"/>
      <c r="LH7" s="24"/>
      <c r="LI7" s="24"/>
      <c r="LJ7" s="24"/>
      <c r="LK7" s="24"/>
      <c r="LL7" s="24"/>
      <c r="LM7" s="38"/>
      <c r="LN7" s="24"/>
      <c r="LO7" s="24"/>
      <c r="LP7" s="24"/>
      <c r="LQ7" s="24"/>
      <c r="LR7" s="24"/>
      <c r="LS7" s="24"/>
      <c r="LT7" s="24"/>
      <c r="LU7" s="24"/>
      <c r="LV7" s="38"/>
      <c r="LW7" s="24"/>
      <c r="LX7" s="24"/>
      <c r="LY7" s="24"/>
      <c r="LZ7" s="24"/>
      <c r="MA7" s="24"/>
      <c r="MB7" s="24"/>
      <c r="MC7" s="24"/>
      <c r="MD7" s="24"/>
      <c r="ME7" s="38"/>
      <c r="MF7" s="24">
        <v>68</v>
      </c>
      <c r="MG7" s="24">
        <v>31120000</v>
      </c>
      <c r="MH7" s="24">
        <v>3</v>
      </c>
      <c r="MI7" s="24">
        <v>3847362</v>
      </c>
      <c r="MJ7" s="24">
        <v>65</v>
      </c>
      <c r="MK7" s="24">
        <v>27272638</v>
      </c>
      <c r="ML7" s="24"/>
      <c r="MM7" s="24"/>
      <c r="MN7" s="38"/>
      <c r="MO7" s="24"/>
      <c r="MP7" s="24"/>
      <c r="MQ7" s="24">
        <v>19</v>
      </c>
      <c r="MR7" s="24">
        <v>11923888</v>
      </c>
      <c r="MS7" s="24">
        <v>46</v>
      </c>
      <c r="MT7" s="24">
        <v>15348750</v>
      </c>
      <c r="MU7" s="24">
        <v>20892631</v>
      </c>
      <c r="MV7" s="24">
        <v>1995416</v>
      </c>
      <c r="MW7" s="38">
        <v>9.5500000000000002E-2</v>
      </c>
      <c r="MX7" s="24"/>
      <c r="MY7" s="24"/>
      <c r="MZ7" s="24">
        <v>16</v>
      </c>
      <c r="NA7" s="24">
        <v>6161884</v>
      </c>
      <c r="NB7" s="24">
        <v>30</v>
      </c>
      <c r="NC7" s="24">
        <v>9186866</v>
      </c>
      <c r="ND7" s="24">
        <v>11855479</v>
      </c>
      <c r="NE7" s="24">
        <v>1076327</v>
      </c>
      <c r="NF7" s="38">
        <v>9.0800000000000006E-2</v>
      </c>
      <c r="NG7" s="24"/>
      <c r="NH7" s="24"/>
      <c r="NI7" s="24">
        <v>12</v>
      </c>
      <c r="NJ7" s="24">
        <v>4067658</v>
      </c>
      <c r="NK7" s="24">
        <v>18</v>
      </c>
      <c r="NL7" s="24">
        <v>5119208</v>
      </c>
      <c r="NM7" s="24">
        <v>7017052</v>
      </c>
      <c r="NN7" s="24">
        <v>585152</v>
      </c>
      <c r="NO7" s="38">
        <v>8.3400000000000002E-2</v>
      </c>
      <c r="NP7" s="24"/>
      <c r="NQ7" s="24"/>
      <c r="NR7" s="24">
        <v>7</v>
      </c>
      <c r="NS7" s="24">
        <v>2458739</v>
      </c>
      <c r="NT7" s="24">
        <v>11</v>
      </c>
      <c r="NU7" s="24">
        <v>2660469</v>
      </c>
      <c r="NV7" s="24">
        <v>3708039</v>
      </c>
      <c r="NW7" s="24">
        <v>351763</v>
      </c>
      <c r="NX7" s="38">
        <v>9.4899999999999998E-2</v>
      </c>
      <c r="NY7" s="24"/>
      <c r="NZ7" s="24"/>
      <c r="OA7" s="24">
        <v>5</v>
      </c>
      <c r="OB7" s="24">
        <v>1063532</v>
      </c>
      <c r="OC7" s="24">
        <v>6</v>
      </c>
      <c r="OD7" s="24">
        <v>1596937</v>
      </c>
      <c r="OE7" s="24">
        <v>2010078</v>
      </c>
      <c r="OF7" s="24">
        <v>194290</v>
      </c>
      <c r="OG7" s="38">
        <v>9.6699999999999994E-2</v>
      </c>
      <c r="OH7" s="24"/>
      <c r="OI7" s="24"/>
      <c r="OJ7" s="24">
        <v>2</v>
      </c>
      <c r="OK7" s="24">
        <v>379249</v>
      </c>
      <c r="OL7" s="24">
        <v>4</v>
      </c>
      <c r="OM7" s="24">
        <v>1217688</v>
      </c>
      <c r="ON7" s="24">
        <v>1386261</v>
      </c>
      <c r="OO7" s="24">
        <v>119434</v>
      </c>
      <c r="OP7" s="38">
        <v>8.6199999999999999E-2</v>
      </c>
      <c r="OQ7" s="24"/>
      <c r="OR7" s="24"/>
      <c r="OS7" s="24"/>
      <c r="OT7" s="24">
        <v>243804</v>
      </c>
      <c r="OU7" s="24">
        <v>4</v>
      </c>
      <c r="OV7" s="24">
        <v>973884</v>
      </c>
      <c r="OW7" s="24">
        <v>1079237</v>
      </c>
      <c r="OX7" s="24">
        <v>84584</v>
      </c>
      <c r="OY7" s="38">
        <v>7.8399999999999997E-2</v>
      </c>
    </row>
    <row r="8" spans="1:424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  <c r="K8" s="24"/>
      <c r="L8" s="24"/>
      <c r="M8" s="24"/>
      <c r="N8" s="24"/>
      <c r="O8" s="24"/>
      <c r="P8" s="24"/>
      <c r="Q8" s="24"/>
      <c r="R8" s="24"/>
      <c r="S8" s="38"/>
      <c r="T8" s="24"/>
      <c r="U8" s="24"/>
      <c r="V8" s="24"/>
      <c r="W8" s="24"/>
      <c r="X8" s="24"/>
      <c r="Y8" s="24"/>
      <c r="Z8" s="24"/>
      <c r="AA8" s="24"/>
      <c r="AB8" s="38"/>
      <c r="AC8" s="24"/>
      <c r="AD8" s="24"/>
      <c r="AE8" s="24"/>
      <c r="AF8" s="24"/>
      <c r="AG8" s="24"/>
      <c r="AH8" s="24"/>
      <c r="AI8" s="24"/>
      <c r="AJ8" s="24"/>
      <c r="AK8" s="38"/>
      <c r="AL8" s="24"/>
      <c r="AM8" s="24"/>
      <c r="AN8" s="24"/>
      <c r="AO8" s="24"/>
      <c r="AP8" s="24"/>
      <c r="AQ8" s="24"/>
      <c r="AR8" s="24"/>
      <c r="AS8" s="24"/>
      <c r="AT8" s="38"/>
      <c r="AU8" s="24"/>
      <c r="AV8" s="24"/>
      <c r="AW8" s="24"/>
      <c r="AX8" s="24"/>
      <c r="AY8" s="24"/>
      <c r="AZ8" s="24"/>
      <c r="BA8" s="24"/>
      <c r="BB8" s="24"/>
      <c r="BC8" s="38"/>
      <c r="BD8" s="24"/>
      <c r="BE8" s="24"/>
      <c r="BF8" s="24"/>
      <c r="BG8" s="24"/>
      <c r="BH8" s="24"/>
      <c r="BI8" s="24"/>
      <c r="BJ8" s="24"/>
      <c r="BK8" s="24"/>
      <c r="BL8" s="38"/>
      <c r="BM8" s="24"/>
      <c r="BN8" s="24"/>
      <c r="BO8" s="24"/>
      <c r="BP8" s="24"/>
      <c r="BQ8" s="24"/>
      <c r="BR8" s="24"/>
      <c r="BS8" s="24"/>
      <c r="BT8" s="24"/>
      <c r="BU8" s="38"/>
      <c r="BV8" s="24"/>
      <c r="BW8" s="24"/>
      <c r="BX8" s="24"/>
      <c r="BY8" s="24"/>
      <c r="BZ8" s="24"/>
      <c r="CA8" s="24"/>
      <c r="CB8" s="24"/>
      <c r="CC8" s="24"/>
      <c r="CD8" s="38"/>
      <c r="CE8" s="24"/>
      <c r="CF8" s="24"/>
      <c r="CG8" s="24"/>
      <c r="CH8" s="24"/>
      <c r="CI8" s="24"/>
      <c r="CJ8" s="24"/>
      <c r="CK8" s="24"/>
      <c r="CL8" s="24"/>
      <c r="CM8" s="38"/>
      <c r="CN8" s="24"/>
      <c r="CO8" s="24"/>
      <c r="CP8" s="24"/>
      <c r="CQ8" s="24"/>
      <c r="CR8" s="24"/>
      <c r="CS8" s="24"/>
      <c r="CT8" s="24"/>
      <c r="CU8" s="24"/>
      <c r="CV8" s="38"/>
      <c r="CW8" s="24"/>
      <c r="CX8" s="24"/>
      <c r="CY8" s="24"/>
      <c r="CZ8" s="24"/>
      <c r="DA8" s="24"/>
      <c r="DB8" s="24"/>
      <c r="DC8" s="24"/>
      <c r="DD8" s="24"/>
      <c r="DE8" s="38"/>
      <c r="DF8" s="24"/>
      <c r="DG8" s="24"/>
      <c r="DH8" s="24"/>
      <c r="DI8" s="24"/>
      <c r="DJ8" s="24"/>
      <c r="DK8" s="24"/>
      <c r="DL8" s="24"/>
      <c r="DM8" s="24"/>
      <c r="DN8" s="38"/>
      <c r="DO8" s="24"/>
      <c r="DP8" s="24"/>
      <c r="DQ8" s="24"/>
      <c r="DR8" s="24"/>
      <c r="DS8" s="24"/>
      <c r="DT8" s="24"/>
      <c r="DU8" s="24"/>
      <c r="DV8" s="24"/>
      <c r="DW8" s="38"/>
      <c r="DX8" s="24"/>
      <c r="DY8" s="24"/>
      <c r="DZ8" s="24"/>
      <c r="EA8" s="24"/>
      <c r="EB8" s="24"/>
      <c r="EC8" s="24"/>
      <c r="ED8" s="24"/>
      <c r="EE8" s="24"/>
      <c r="EF8" s="38"/>
      <c r="EG8" s="24"/>
      <c r="EH8" s="24"/>
      <c r="EI8" s="24"/>
      <c r="EJ8" s="24"/>
      <c r="EK8" s="24"/>
      <c r="EL8" s="24"/>
      <c r="EM8" s="24"/>
      <c r="EN8" s="24"/>
      <c r="EO8" s="38"/>
      <c r="EP8" s="24"/>
      <c r="EQ8" s="24"/>
      <c r="ER8" s="24"/>
      <c r="ES8" s="24"/>
      <c r="ET8" s="24"/>
      <c r="EU8" s="24"/>
      <c r="EV8" s="24"/>
      <c r="EW8" s="24"/>
      <c r="EX8" s="38"/>
      <c r="EY8" s="24"/>
      <c r="EZ8" s="24"/>
      <c r="FA8" s="24"/>
      <c r="FB8" s="24"/>
      <c r="FC8" s="24"/>
      <c r="FD8" s="24"/>
      <c r="FE8" s="24"/>
      <c r="FF8" s="24"/>
      <c r="FG8" s="38"/>
      <c r="FH8" s="24"/>
      <c r="FI8" s="24"/>
      <c r="FJ8" s="24"/>
      <c r="FK8" s="24"/>
      <c r="FL8" s="24"/>
      <c r="FM8" s="24"/>
      <c r="FN8" s="24"/>
      <c r="FO8" s="24"/>
      <c r="FP8" s="38"/>
      <c r="FQ8" s="24"/>
      <c r="FR8" s="24"/>
      <c r="FS8" s="24"/>
      <c r="FT8" s="24"/>
      <c r="FU8" s="24"/>
      <c r="FV8" s="24"/>
      <c r="FW8" s="24"/>
      <c r="FX8" s="24"/>
      <c r="FY8" s="38"/>
      <c r="FZ8" s="24"/>
      <c r="GA8" s="24"/>
      <c r="GB8" s="24"/>
      <c r="GC8" s="24"/>
      <c r="GD8" s="24"/>
      <c r="GE8" s="24"/>
      <c r="GF8" s="24"/>
      <c r="GG8" s="24"/>
      <c r="GH8" s="38"/>
      <c r="GI8" s="24"/>
      <c r="GJ8" s="24"/>
      <c r="GK8" s="24"/>
      <c r="GL8" s="24"/>
      <c r="GM8" s="24"/>
      <c r="GN8" s="24"/>
      <c r="GO8" s="24"/>
      <c r="GP8" s="24"/>
      <c r="GQ8" s="38"/>
      <c r="GR8" s="24"/>
      <c r="GS8" s="24"/>
      <c r="GT8" s="24"/>
      <c r="GU8" s="24"/>
      <c r="GV8" s="24"/>
      <c r="GW8" s="24"/>
      <c r="GX8" s="24"/>
      <c r="GY8" s="24"/>
      <c r="GZ8" s="38"/>
      <c r="HA8" s="24"/>
      <c r="HB8" s="24"/>
      <c r="HC8" s="24"/>
      <c r="HD8" s="24"/>
      <c r="HE8" s="24"/>
      <c r="HF8" s="24"/>
      <c r="HG8" s="24"/>
      <c r="HH8" s="24"/>
      <c r="HI8" s="38"/>
      <c r="HJ8" s="24"/>
      <c r="HK8" s="24"/>
      <c r="HL8" s="24"/>
      <c r="HM8" s="24"/>
      <c r="HN8" s="24"/>
      <c r="HO8" s="24"/>
      <c r="HP8" s="24"/>
      <c r="HQ8" s="24"/>
      <c r="HR8" s="38"/>
      <c r="HS8" s="24">
        <v>231</v>
      </c>
      <c r="HT8" s="24">
        <v>616907109</v>
      </c>
      <c r="HU8" s="24">
        <v>151</v>
      </c>
      <c r="HV8" s="24">
        <v>507032531</v>
      </c>
      <c r="HW8" s="24">
        <v>992</v>
      </c>
      <c r="HX8" s="24">
        <v>1721055771</v>
      </c>
      <c r="HY8" s="24">
        <v>1680071833</v>
      </c>
      <c r="HZ8" s="24">
        <v>167544202</v>
      </c>
      <c r="IA8" s="38">
        <v>9.9699999999999997E-2</v>
      </c>
      <c r="IB8" s="24">
        <v>344</v>
      </c>
      <c r="IC8" s="24">
        <v>925760000</v>
      </c>
      <c r="ID8" s="24">
        <v>187</v>
      </c>
      <c r="IE8" s="24">
        <v>566977718</v>
      </c>
      <c r="IF8" s="24">
        <v>1149</v>
      </c>
      <c r="IG8" s="24">
        <v>2079838053</v>
      </c>
      <c r="IH8" s="24">
        <v>1862754094</v>
      </c>
      <c r="II8" s="24">
        <v>178939468</v>
      </c>
      <c r="IJ8" s="38">
        <v>9.6100000000000005E-2</v>
      </c>
      <c r="IK8" s="24">
        <v>404</v>
      </c>
      <c r="IL8" s="24">
        <v>1032640000</v>
      </c>
      <c r="IM8" s="24">
        <v>189</v>
      </c>
      <c r="IN8" s="24">
        <v>669631183</v>
      </c>
      <c r="IO8" s="24">
        <v>1364</v>
      </c>
      <c r="IP8" s="24">
        <v>2442846870</v>
      </c>
      <c r="IQ8" s="24">
        <v>2251259437</v>
      </c>
      <c r="IR8" s="24">
        <v>212296012</v>
      </c>
      <c r="IS8" s="38">
        <v>9.4299999999999995E-2</v>
      </c>
      <c r="IT8" s="24">
        <v>593</v>
      </c>
      <c r="IU8" s="24">
        <v>1564960000</v>
      </c>
      <c r="IV8" s="24">
        <v>258</v>
      </c>
      <c r="IW8" s="24">
        <v>853129494</v>
      </c>
      <c r="IX8" s="24">
        <v>1699</v>
      </c>
      <c r="IY8" s="24">
        <v>3154677376</v>
      </c>
      <c r="IZ8" s="24">
        <v>2804605957</v>
      </c>
      <c r="JA8" s="24">
        <v>258752842</v>
      </c>
      <c r="JB8" s="38">
        <v>9.2299999999999993E-2</v>
      </c>
      <c r="JC8" s="24">
        <v>642</v>
      </c>
      <c r="JD8" s="24">
        <v>1611991012</v>
      </c>
      <c r="JE8" s="24">
        <v>324</v>
      </c>
      <c r="JF8" s="24">
        <v>1064922259</v>
      </c>
      <c r="JG8" s="24">
        <v>2017</v>
      </c>
      <c r="JH8" s="24">
        <v>3701746129</v>
      </c>
      <c r="JI8" s="24">
        <v>3426855560</v>
      </c>
      <c r="JJ8" s="24">
        <v>314817661</v>
      </c>
      <c r="JK8" s="38">
        <v>9.1899999999999996E-2</v>
      </c>
      <c r="JL8" s="24">
        <v>688</v>
      </c>
      <c r="JM8" s="24">
        <v>1697843662</v>
      </c>
      <c r="JN8" s="24">
        <v>328</v>
      </c>
      <c r="JO8" s="24">
        <v>1208461978</v>
      </c>
      <c r="JP8" s="24">
        <v>2377</v>
      </c>
      <c r="JQ8" s="24">
        <v>4191127813</v>
      </c>
      <c r="JR8" s="24">
        <v>3978055682</v>
      </c>
      <c r="JS8" s="24">
        <v>363286671</v>
      </c>
      <c r="JT8" s="38">
        <v>9.1300000000000006E-2</v>
      </c>
      <c r="JU8" s="24">
        <v>658</v>
      </c>
      <c r="JV8" s="24">
        <v>1583475000</v>
      </c>
      <c r="JW8" s="24">
        <v>427</v>
      </c>
      <c r="JX8" s="24">
        <v>1341843619</v>
      </c>
      <c r="JY8" s="24">
        <v>2608</v>
      </c>
      <c r="JZ8" s="24">
        <v>4432759194</v>
      </c>
      <c r="KA8" s="24">
        <v>4362924355</v>
      </c>
      <c r="KB8" s="24">
        <v>397643906</v>
      </c>
      <c r="KC8" s="38">
        <v>9.11E-2</v>
      </c>
      <c r="KD8" s="24">
        <v>586</v>
      </c>
      <c r="KE8" s="24">
        <v>1449080000</v>
      </c>
      <c r="KF8" s="24">
        <v>492</v>
      </c>
      <c r="KG8" s="24">
        <v>1415119058</v>
      </c>
      <c r="KH8" s="24">
        <v>2702</v>
      </c>
      <c r="KI8" s="24">
        <v>4466720136</v>
      </c>
      <c r="KJ8" s="24">
        <v>4473207995</v>
      </c>
      <c r="KK8" s="24">
        <v>411987128</v>
      </c>
      <c r="KL8" s="38">
        <v>9.2100000000000001E-2</v>
      </c>
      <c r="KM8" s="24">
        <v>607</v>
      </c>
      <c r="KN8" s="24">
        <v>1359470000</v>
      </c>
      <c r="KO8" s="24">
        <v>505</v>
      </c>
      <c r="KP8" s="24">
        <v>1432319470</v>
      </c>
      <c r="KQ8" s="24">
        <v>2804</v>
      </c>
      <c r="KR8" s="24">
        <v>4393870666</v>
      </c>
      <c r="KS8" s="24">
        <v>4452038112</v>
      </c>
      <c r="KT8" s="24">
        <v>407447343</v>
      </c>
      <c r="KU8" s="38">
        <v>9.1499999999999998E-2</v>
      </c>
      <c r="KV8" s="24">
        <v>643</v>
      </c>
      <c r="KW8" s="24">
        <v>1358014000</v>
      </c>
      <c r="KX8" s="24">
        <v>635</v>
      </c>
      <c r="KY8" s="24">
        <v>1555750696</v>
      </c>
      <c r="KZ8" s="24">
        <v>2812</v>
      </c>
      <c r="LA8" s="24">
        <v>4196133970</v>
      </c>
      <c r="LB8" s="24">
        <v>4311808213</v>
      </c>
      <c r="LC8" s="24">
        <v>393358881</v>
      </c>
      <c r="LD8" s="38">
        <v>9.1200000000000003E-2</v>
      </c>
      <c r="LE8" s="24">
        <v>431</v>
      </c>
      <c r="LF8" s="24">
        <v>806799175</v>
      </c>
      <c r="LG8" s="24">
        <v>545</v>
      </c>
      <c r="LH8" s="24">
        <v>1375271418</v>
      </c>
      <c r="LI8" s="24">
        <v>2698</v>
      </c>
      <c r="LJ8" s="24">
        <v>3627661727</v>
      </c>
      <c r="LK8" s="24">
        <v>3905024524</v>
      </c>
      <c r="LL8" s="24">
        <v>358794297</v>
      </c>
      <c r="LM8" s="38">
        <v>9.1899999999999996E-2</v>
      </c>
      <c r="LN8" s="24">
        <v>395</v>
      </c>
      <c r="LO8" s="24">
        <v>772440000</v>
      </c>
      <c r="LP8" s="24">
        <v>657</v>
      </c>
      <c r="LQ8" s="24">
        <v>1271779580</v>
      </c>
      <c r="LR8" s="24">
        <v>2436</v>
      </c>
      <c r="LS8" s="24">
        <v>3128322147</v>
      </c>
      <c r="LT8" s="24">
        <v>3389205324</v>
      </c>
      <c r="LU8" s="24">
        <v>309524549</v>
      </c>
      <c r="LV8" s="38">
        <v>9.1300000000000006E-2</v>
      </c>
      <c r="LW8" s="24">
        <v>368</v>
      </c>
      <c r="LX8" s="24">
        <v>674370000</v>
      </c>
      <c r="LY8" s="24">
        <v>539</v>
      </c>
      <c r="LZ8" s="24">
        <v>1026510461</v>
      </c>
      <c r="MA8" s="24">
        <v>2265</v>
      </c>
      <c r="MB8" s="24">
        <v>2776181686</v>
      </c>
      <c r="MC8" s="24">
        <v>2947941372</v>
      </c>
      <c r="MD8" s="24">
        <v>258163817</v>
      </c>
      <c r="ME8" s="38">
        <v>8.7599999999999997E-2</v>
      </c>
      <c r="MF8" s="24">
        <v>282</v>
      </c>
      <c r="MG8" s="24">
        <v>468980000</v>
      </c>
      <c r="MH8" s="24">
        <v>512</v>
      </c>
      <c r="MI8" s="24">
        <v>892741720</v>
      </c>
      <c r="MJ8" s="24">
        <v>2035</v>
      </c>
      <c r="MK8" s="24">
        <v>2352419966</v>
      </c>
      <c r="ML8" s="24">
        <v>2509915292</v>
      </c>
      <c r="MM8" s="24">
        <v>218061331</v>
      </c>
      <c r="MN8" s="38">
        <v>8.6900000000000005E-2</v>
      </c>
      <c r="MO8" s="24">
        <v>226</v>
      </c>
      <c r="MP8" s="24">
        <v>397980000</v>
      </c>
      <c r="MQ8" s="24">
        <v>464</v>
      </c>
      <c r="MR8" s="24">
        <v>728413694</v>
      </c>
      <c r="MS8" s="24">
        <v>1797</v>
      </c>
      <c r="MT8" s="24">
        <v>2021986272</v>
      </c>
      <c r="MU8" s="24">
        <v>2203423665</v>
      </c>
      <c r="MV8" s="24">
        <v>197619533</v>
      </c>
      <c r="MW8" s="38">
        <v>8.9700000000000002E-2</v>
      </c>
      <c r="MX8" s="24">
        <v>177</v>
      </c>
      <c r="MY8" s="24">
        <v>268730000</v>
      </c>
      <c r="MZ8" s="24">
        <v>437</v>
      </c>
      <c r="NA8" s="24">
        <v>596397265</v>
      </c>
      <c r="NB8" s="24">
        <v>1537</v>
      </c>
      <c r="NC8" s="24">
        <v>1694319007</v>
      </c>
      <c r="ND8" s="24">
        <v>1806156748</v>
      </c>
      <c r="NE8" s="24">
        <v>162063509</v>
      </c>
      <c r="NF8" s="38">
        <v>8.9700000000000002E-2</v>
      </c>
      <c r="NG8" s="24">
        <v>169</v>
      </c>
      <c r="NH8" s="24">
        <v>280710000</v>
      </c>
      <c r="NI8" s="24">
        <v>322</v>
      </c>
      <c r="NJ8" s="24">
        <v>491525527</v>
      </c>
      <c r="NK8" s="24">
        <v>1384</v>
      </c>
      <c r="NL8" s="24">
        <v>1483503480</v>
      </c>
      <c r="NM8" s="24">
        <v>1569304585</v>
      </c>
      <c r="NN8" s="24">
        <v>138556713</v>
      </c>
      <c r="NO8" s="38">
        <v>8.8300000000000003E-2</v>
      </c>
      <c r="NP8" s="24">
        <v>165</v>
      </c>
      <c r="NQ8" s="24">
        <v>292150000</v>
      </c>
      <c r="NR8" s="24">
        <v>305</v>
      </c>
      <c r="NS8" s="24">
        <v>448112759</v>
      </c>
      <c r="NT8" s="24">
        <v>1244</v>
      </c>
      <c r="NU8" s="24">
        <v>1327540721</v>
      </c>
      <c r="NV8" s="24">
        <v>1395342289</v>
      </c>
      <c r="NW8" s="24">
        <v>121048244</v>
      </c>
      <c r="NX8" s="38">
        <v>8.6800000000000002E-2</v>
      </c>
      <c r="NY8" s="24">
        <v>148</v>
      </c>
      <c r="NZ8" s="24">
        <v>250480000</v>
      </c>
      <c r="OA8" s="24">
        <v>269</v>
      </c>
      <c r="OB8" s="24">
        <v>387129636</v>
      </c>
      <c r="OC8" s="24">
        <v>1123</v>
      </c>
      <c r="OD8" s="24">
        <v>1190891085</v>
      </c>
      <c r="OE8" s="24">
        <v>1246323470</v>
      </c>
      <c r="OF8" s="24">
        <v>106155928</v>
      </c>
      <c r="OG8" s="38">
        <v>8.5199999999999998E-2</v>
      </c>
      <c r="OH8" s="24">
        <v>112</v>
      </c>
      <c r="OI8" s="24">
        <v>181180000</v>
      </c>
      <c r="OJ8" s="24">
        <v>231</v>
      </c>
      <c r="OK8" s="24">
        <v>339027743</v>
      </c>
      <c r="OL8" s="24">
        <v>1004</v>
      </c>
      <c r="OM8" s="24">
        <v>1033043342</v>
      </c>
      <c r="ON8" s="24">
        <v>1099468210</v>
      </c>
      <c r="OO8" s="24">
        <v>93147921</v>
      </c>
      <c r="OP8" s="38">
        <v>8.4699999999999998E-2</v>
      </c>
      <c r="OQ8" s="24">
        <v>140</v>
      </c>
      <c r="OR8" s="24">
        <v>256800000</v>
      </c>
      <c r="OS8" s="24">
        <v>218</v>
      </c>
      <c r="OT8" s="24">
        <v>323219192</v>
      </c>
      <c r="OU8" s="24">
        <v>926</v>
      </c>
      <c r="OV8" s="24">
        <v>966624150</v>
      </c>
      <c r="OW8" s="24">
        <v>991137471</v>
      </c>
      <c r="OX8" s="24">
        <v>83973883</v>
      </c>
      <c r="OY8" s="38">
        <v>8.4699999999999998E-2</v>
      </c>
    </row>
    <row r="9" spans="1:424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  <c r="K9" s="24"/>
      <c r="L9" s="24"/>
      <c r="M9" s="24"/>
      <c r="N9" s="24"/>
      <c r="O9" s="24"/>
      <c r="P9" s="24"/>
      <c r="Q9" s="24"/>
      <c r="R9" s="24"/>
      <c r="S9" s="38"/>
      <c r="T9" s="24"/>
      <c r="U9" s="24"/>
      <c r="V9" s="24"/>
      <c r="W9" s="24"/>
      <c r="X9" s="24"/>
      <c r="Y9" s="24"/>
      <c r="Z9" s="24"/>
      <c r="AA9" s="24"/>
      <c r="AB9" s="38"/>
      <c r="AC9" s="24"/>
      <c r="AD9" s="24"/>
      <c r="AE9" s="24"/>
      <c r="AF9" s="24"/>
      <c r="AG9" s="24"/>
      <c r="AH9" s="24"/>
      <c r="AI9" s="24"/>
      <c r="AJ9" s="24"/>
      <c r="AK9" s="38"/>
      <c r="AL9" s="24"/>
      <c r="AM9" s="24"/>
      <c r="AN9" s="24"/>
      <c r="AO9" s="24"/>
      <c r="AP9" s="24"/>
      <c r="AQ9" s="24"/>
      <c r="AR9" s="24"/>
      <c r="AS9" s="24"/>
      <c r="AT9" s="38"/>
      <c r="AU9" s="24"/>
      <c r="AV9" s="24"/>
      <c r="AW9" s="24"/>
      <c r="AX9" s="24"/>
      <c r="AY9" s="24"/>
      <c r="AZ9" s="24"/>
      <c r="BA9" s="24"/>
      <c r="BB9" s="24"/>
      <c r="BC9" s="38"/>
      <c r="BD9" s="24"/>
      <c r="BE9" s="24"/>
      <c r="BF9" s="24"/>
      <c r="BG9" s="24"/>
      <c r="BH9" s="24"/>
      <c r="BI9" s="24"/>
      <c r="BJ9" s="24"/>
      <c r="BK9" s="24"/>
      <c r="BL9" s="38"/>
      <c r="BM9" s="24"/>
      <c r="BN9" s="24"/>
      <c r="BO9" s="24"/>
      <c r="BP9" s="24"/>
      <c r="BQ9" s="24"/>
      <c r="BR9" s="24"/>
      <c r="BS9" s="24"/>
      <c r="BT9" s="24"/>
      <c r="BU9" s="38"/>
      <c r="BV9" s="24"/>
      <c r="BW9" s="24"/>
      <c r="BX9" s="24"/>
      <c r="BY9" s="24"/>
      <c r="BZ9" s="24"/>
      <c r="CA9" s="24"/>
      <c r="CB9" s="24"/>
      <c r="CC9" s="24"/>
      <c r="CD9" s="38"/>
      <c r="CE9" s="24"/>
      <c r="CF9" s="24"/>
      <c r="CG9" s="24"/>
      <c r="CH9" s="24"/>
      <c r="CI9" s="24"/>
      <c r="CJ9" s="24"/>
      <c r="CK9" s="24"/>
      <c r="CL9" s="24"/>
      <c r="CM9" s="38"/>
      <c r="CN9" s="24"/>
      <c r="CO9" s="24"/>
      <c r="CP9" s="24"/>
      <c r="CQ9" s="24"/>
      <c r="CR9" s="24"/>
      <c r="CS9" s="24"/>
      <c r="CT9" s="24"/>
      <c r="CU9" s="24"/>
      <c r="CV9" s="38"/>
      <c r="CW9" s="24"/>
      <c r="CX9" s="24"/>
      <c r="CY9" s="24"/>
      <c r="CZ9" s="24"/>
      <c r="DA9" s="24"/>
      <c r="DB9" s="24"/>
      <c r="DC9" s="24"/>
      <c r="DD9" s="24"/>
      <c r="DE9" s="38"/>
      <c r="DF9" s="24"/>
      <c r="DG9" s="24"/>
      <c r="DH9" s="24"/>
      <c r="DI9" s="24"/>
      <c r="DJ9" s="24"/>
      <c r="DK9" s="24"/>
      <c r="DL9" s="24"/>
      <c r="DM9" s="24"/>
      <c r="DN9" s="38"/>
      <c r="DO9" s="24"/>
      <c r="DP9" s="24"/>
      <c r="DQ9" s="24"/>
      <c r="DR9" s="24"/>
      <c r="DS9" s="24"/>
      <c r="DT9" s="24"/>
      <c r="DU9" s="24"/>
      <c r="DV9" s="24"/>
      <c r="DW9" s="38"/>
      <c r="DX9" s="24"/>
      <c r="DY9" s="24"/>
      <c r="DZ9" s="24"/>
      <c r="EA9" s="24"/>
      <c r="EB9" s="24"/>
      <c r="EC9" s="24"/>
      <c r="ED9" s="24"/>
      <c r="EE9" s="24"/>
      <c r="EF9" s="38"/>
      <c r="EG9" s="24"/>
      <c r="EH9" s="24"/>
      <c r="EI9" s="24"/>
      <c r="EJ9" s="24"/>
      <c r="EK9" s="24"/>
      <c r="EL9" s="24"/>
      <c r="EM9" s="24"/>
      <c r="EN9" s="24"/>
      <c r="EO9" s="38"/>
      <c r="EP9" s="24"/>
      <c r="EQ9" s="24"/>
      <c r="ER9" s="24"/>
      <c r="ES9" s="24"/>
      <c r="ET9" s="24"/>
      <c r="EU9" s="24"/>
      <c r="EV9" s="24"/>
      <c r="EW9" s="24"/>
      <c r="EX9" s="38"/>
      <c r="EY9" s="24"/>
      <c r="EZ9" s="24"/>
      <c r="FA9" s="24"/>
      <c r="FB9" s="24"/>
      <c r="FC9" s="24"/>
      <c r="FD9" s="24"/>
      <c r="FE9" s="24"/>
      <c r="FF9" s="24"/>
      <c r="FG9" s="38"/>
      <c r="FH9" s="24"/>
      <c r="FI9" s="24"/>
      <c r="FJ9" s="24"/>
      <c r="FK9" s="24"/>
      <c r="FL9" s="24"/>
      <c r="FM9" s="24"/>
      <c r="FN9" s="24"/>
      <c r="FO9" s="24"/>
      <c r="FP9" s="38"/>
      <c r="FQ9" s="24"/>
      <c r="FR9" s="24"/>
      <c r="FS9" s="24"/>
      <c r="FT9" s="24"/>
      <c r="FU9" s="24"/>
      <c r="FV9" s="24"/>
      <c r="FW9" s="24"/>
      <c r="FX9" s="24"/>
      <c r="FY9" s="38"/>
      <c r="FZ9" s="24"/>
      <c r="GA9" s="24"/>
      <c r="GB9" s="24"/>
      <c r="GC9" s="24"/>
      <c r="GD9" s="24"/>
      <c r="GE9" s="24"/>
      <c r="GF9" s="24"/>
      <c r="GG9" s="24"/>
      <c r="GH9" s="38"/>
      <c r="GI9" s="24"/>
      <c r="GJ9" s="24"/>
      <c r="GK9" s="24"/>
      <c r="GL9" s="24"/>
      <c r="GM9" s="24"/>
      <c r="GN9" s="24"/>
      <c r="GO9" s="24"/>
      <c r="GP9" s="24"/>
      <c r="GQ9" s="38"/>
      <c r="GR9" s="24"/>
      <c r="GS9" s="24"/>
      <c r="GT9" s="24"/>
      <c r="GU9" s="24"/>
      <c r="GV9" s="24"/>
      <c r="GW9" s="24"/>
      <c r="GX9" s="24"/>
      <c r="GY9" s="24"/>
      <c r="GZ9" s="38"/>
      <c r="HA9" s="24"/>
      <c r="HB9" s="24"/>
      <c r="HC9" s="24"/>
      <c r="HD9" s="24"/>
      <c r="HE9" s="24"/>
      <c r="HF9" s="24"/>
      <c r="HG9" s="24"/>
      <c r="HH9" s="24"/>
      <c r="HI9" s="38"/>
      <c r="HJ9" s="24"/>
      <c r="HK9" s="24"/>
      <c r="HL9" s="24"/>
      <c r="HM9" s="24"/>
      <c r="HN9" s="24"/>
      <c r="HO9" s="24"/>
      <c r="HP9" s="24"/>
      <c r="HQ9" s="24"/>
      <c r="HR9" s="38"/>
      <c r="HS9" s="24"/>
      <c r="HT9" s="24"/>
      <c r="HU9" s="24"/>
      <c r="HV9" s="24"/>
      <c r="HW9" s="24"/>
      <c r="HX9" s="24"/>
      <c r="HY9" s="24"/>
      <c r="HZ9" s="24"/>
      <c r="IA9" s="38"/>
      <c r="IB9" s="24">
        <v>1</v>
      </c>
      <c r="IC9" s="24">
        <v>300000</v>
      </c>
      <c r="ID9" s="24">
        <v>0</v>
      </c>
      <c r="IE9" s="24">
        <v>95905</v>
      </c>
      <c r="IF9" s="24">
        <v>1</v>
      </c>
      <c r="IG9" s="24">
        <v>204095</v>
      </c>
      <c r="IH9" s="24">
        <v>247812</v>
      </c>
      <c r="II9" s="24">
        <v>11138</v>
      </c>
      <c r="IJ9" s="38">
        <v>4.4900000000000002E-2</v>
      </c>
      <c r="IK9" s="24">
        <v>0</v>
      </c>
      <c r="IL9" s="24">
        <v>0</v>
      </c>
      <c r="IM9" s="24">
        <v>0</v>
      </c>
      <c r="IN9" s="24">
        <v>120431</v>
      </c>
      <c r="IO9" s="24">
        <v>1</v>
      </c>
      <c r="IP9" s="24">
        <v>83664</v>
      </c>
      <c r="IQ9" s="24">
        <v>142041</v>
      </c>
      <c r="IR9" s="24">
        <v>7405</v>
      </c>
      <c r="IS9" s="38">
        <v>5.21E-2</v>
      </c>
      <c r="IT9" s="24">
        <v>0</v>
      </c>
      <c r="IU9" s="24">
        <v>0</v>
      </c>
      <c r="IV9" s="24">
        <v>1</v>
      </c>
      <c r="IW9" s="24">
        <v>83664</v>
      </c>
      <c r="IX9" s="24">
        <v>0</v>
      </c>
      <c r="IY9" s="24">
        <v>0</v>
      </c>
      <c r="IZ9" s="24">
        <v>26825</v>
      </c>
      <c r="JA9" s="24">
        <v>1560</v>
      </c>
      <c r="JB9" s="38">
        <v>5.8200000000000002E-2</v>
      </c>
      <c r="JC9" s="24"/>
      <c r="JD9" s="24"/>
      <c r="JE9" s="24"/>
      <c r="JF9" s="24"/>
      <c r="JG9" s="24"/>
      <c r="JH9" s="24"/>
      <c r="JI9" s="24"/>
      <c r="JJ9" s="24"/>
      <c r="JK9" s="38"/>
      <c r="JL9" s="24"/>
      <c r="JM9" s="24"/>
      <c r="JN9" s="24"/>
      <c r="JO9" s="24"/>
      <c r="JP9" s="24"/>
      <c r="JQ9" s="24"/>
      <c r="JR9" s="24"/>
      <c r="JS9" s="24"/>
      <c r="JT9" s="38"/>
      <c r="JU9" s="24"/>
      <c r="JV9" s="24"/>
      <c r="JW9" s="24"/>
      <c r="JX9" s="24"/>
      <c r="JY9" s="24"/>
      <c r="JZ9" s="24"/>
      <c r="KA9" s="24"/>
      <c r="KB9" s="24"/>
      <c r="KC9" s="38"/>
      <c r="KD9" s="24"/>
      <c r="KE9" s="24"/>
      <c r="KF9" s="24"/>
      <c r="KG9" s="24"/>
      <c r="KH9" s="24"/>
      <c r="KI9" s="24"/>
      <c r="KJ9" s="24"/>
      <c r="KK9" s="24"/>
      <c r="KL9" s="38"/>
      <c r="KM9" s="24"/>
      <c r="KN9" s="24"/>
      <c r="KO9" s="24"/>
      <c r="KP9" s="24"/>
      <c r="KQ9" s="24"/>
      <c r="KR9" s="24"/>
      <c r="KS9" s="24"/>
      <c r="KT9" s="24"/>
      <c r="KU9" s="38"/>
      <c r="KV9" s="24"/>
      <c r="KW9" s="24"/>
      <c r="KX9" s="24"/>
      <c r="KY9" s="24"/>
      <c r="KZ9" s="24"/>
      <c r="LA9" s="24"/>
      <c r="LB9" s="24"/>
      <c r="LC9" s="24"/>
      <c r="LD9" s="38"/>
      <c r="LE9" s="24"/>
      <c r="LF9" s="24"/>
      <c r="LG9" s="24"/>
      <c r="LH9" s="24"/>
      <c r="LI9" s="24"/>
      <c r="LJ9" s="24"/>
      <c r="LK9" s="24"/>
      <c r="LL9" s="24"/>
      <c r="LM9" s="38"/>
      <c r="LN9" s="24"/>
      <c r="LO9" s="24"/>
      <c r="LP9" s="24"/>
      <c r="LQ9" s="24"/>
      <c r="LR9" s="24"/>
      <c r="LS9" s="24"/>
      <c r="LT9" s="24"/>
      <c r="LU9" s="24"/>
      <c r="LV9" s="38"/>
      <c r="LW9" s="24"/>
      <c r="LX9" s="24"/>
      <c r="LY9" s="24"/>
      <c r="LZ9" s="24"/>
      <c r="MA9" s="24"/>
      <c r="MB9" s="24"/>
      <c r="MC9" s="24"/>
      <c r="MD9" s="24"/>
      <c r="ME9" s="38"/>
      <c r="MF9" s="24"/>
      <c r="MG9" s="24"/>
      <c r="MH9" s="24"/>
      <c r="MI9" s="24"/>
      <c r="MJ9" s="24"/>
      <c r="MK9" s="24"/>
      <c r="ML9" s="24"/>
      <c r="MM9" s="24"/>
      <c r="MN9" s="38"/>
      <c r="MO9" s="24"/>
      <c r="MP9" s="24"/>
      <c r="MQ9" s="24"/>
      <c r="MR9" s="24"/>
      <c r="MS9" s="24"/>
      <c r="MT9" s="24"/>
      <c r="MU9" s="24"/>
      <c r="MV9" s="24"/>
      <c r="MW9" s="38"/>
      <c r="MX9" s="24"/>
      <c r="MY9" s="24"/>
      <c r="MZ9" s="24"/>
      <c r="NA9" s="24"/>
      <c r="NB9" s="24"/>
      <c r="NC9" s="24"/>
      <c r="ND9" s="24"/>
      <c r="NE9" s="24"/>
      <c r="NF9" s="38"/>
      <c r="NG9" s="24"/>
      <c r="NH9" s="24"/>
      <c r="NI9" s="24"/>
      <c r="NJ9" s="24"/>
      <c r="NK9" s="24"/>
      <c r="NL9" s="24"/>
      <c r="NM9" s="24"/>
      <c r="NN9" s="24"/>
      <c r="NO9" s="38"/>
      <c r="NP9" s="24"/>
      <c r="NQ9" s="24"/>
      <c r="NR9" s="24"/>
      <c r="NS9" s="24"/>
      <c r="NT9" s="24"/>
      <c r="NU9" s="24"/>
      <c r="NV9" s="24"/>
      <c r="NW9" s="24"/>
      <c r="NX9" s="38"/>
      <c r="NY9" s="24"/>
      <c r="NZ9" s="24"/>
      <c r="OA9" s="24"/>
      <c r="OB9" s="24"/>
      <c r="OC9" s="24"/>
      <c r="OD9" s="24"/>
      <c r="OE9" s="24"/>
      <c r="OF9" s="24"/>
      <c r="OG9" s="38"/>
      <c r="OH9" s="24"/>
      <c r="OI9" s="24"/>
      <c r="OJ9" s="24"/>
      <c r="OK9" s="24"/>
      <c r="OL9" s="24"/>
      <c r="OM9" s="24"/>
      <c r="ON9" s="24"/>
      <c r="OO9" s="24"/>
      <c r="OP9" s="38"/>
      <c r="OQ9" s="24"/>
      <c r="OR9" s="24"/>
      <c r="OS9" s="24"/>
      <c r="OT9" s="24"/>
      <c r="OU9" s="24"/>
      <c r="OV9" s="24"/>
      <c r="OW9" s="24"/>
      <c r="OX9" s="24"/>
      <c r="OY9" s="38"/>
    </row>
    <row r="10" spans="1:424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  <c r="K10" s="24"/>
      <c r="L10" s="24"/>
      <c r="M10" s="24"/>
      <c r="N10" s="24"/>
      <c r="O10" s="24"/>
      <c r="P10" s="24"/>
      <c r="Q10" s="24"/>
      <c r="R10" s="24"/>
      <c r="S10" s="38"/>
      <c r="T10" s="24"/>
      <c r="U10" s="24"/>
      <c r="V10" s="24"/>
      <c r="W10" s="24"/>
      <c r="X10" s="24"/>
      <c r="Y10" s="24"/>
      <c r="Z10" s="24"/>
      <c r="AA10" s="24"/>
      <c r="AB10" s="38"/>
      <c r="AC10" s="24"/>
      <c r="AD10" s="24"/>
      <c r="AE10" s="24"/>
      <c r="AF10" s="24"/>
      <c r="AG10" s="24"/>
      <c r="AH10" s="24"/>
      <c r="AI10" s="24"/>
      <c r="AJ10" s="24"/>
      <c r="AK10" s="38"/>
      <c r="AL10" s="24"/>
      <c r="AM10" s="24"/>
      <c r="AN10" s="24"/>
      <c r="AO10" s="24"/>
      <c r="AP10" s="24"/>
      <c r="AQ10" s="24"/>
      <c r="AR10" s="24"/>
      <c r="AS10" s="24"/>
      <c r="AT10" s="38"/>
      <c r="AU10" s="24"/>
      <c r="AV10" s="24"/>
      <c r="AW10" s="24"/>
      <c r="AX10" s="24"/>
      <c r="AY10" s="24"/>
      <c r="AZ10" s="24"/>
      <c r="BA10" s="24"/>
      <c r="BB10" s="24"/>
      <c r="BC10" s="38"/>
      <c r="BD10" s="24"/>
      <c r="BE10" s="24"/>
      <c r="BF10" s="24"/>
      <c r="BG10" s="24"/>
      <c r="BH10" s="24"/>
      <c r="BI10" s="24"/>
      <c r="BJ10" s="24"/>
      <c r="BK10" s="24"/>
      <c r="BL10" s="38"/>
      <c r="BM10" s="24"/>
      <c r="BN10" s="24"/>
      <c r="BO10" s="24"/>
      <c r="BP10" s="24"/>
      <c r="BQ10" s="24"/>
      <c r="BR10" s="24"/>
      <c r="BS10" s="24"/>
      <c r="BT10" s="24"/>
      <c r="BU10" s="38"/>
      <c r="BV10" s="24"/>
      <c r="BW10" s="24"/>
      <c r="BX10" s="24"/>
      <c r="BY10" s="24"/>
      <c r="BZ10" s="24"/>
      <c r="CA10" s="24"/>
      <c r="CB10" s="24"/>
      <c r="CC10" s="24"/>
      <c r="CD10" s="38"/>
      <c r="CE10" s="24"/>
      <c r="CF10" s="24"/>
      <c r="CG10" s="24"/>
      <c r="CH10" s="24"/>
      <c r="CI10" s="24"/>
      <c r="CJ10" s="24"/>
      <c r="CK10" s="24"/>
      <c r="CL10" s="24"/>
      <c r="CM10" s="38"/>
      <c r="CN10" s="24"/>
      <c r="CO10" s="24"/>
      <c r="CP10" s="24"/>
      <c r="CQ10" s="24"/>
      <c r="CR10" s="24"/>
      <c r="CS10" s="24"/>
      <c r="CT10" s="24"/>
      <c r="CU10" s="24"/>
      <c r="CV10" s="38"/>
      <c r="CW10" s="24"/>
      <c r="CX10" s="24"/>
      <c r="CY10" s="24"/>
      <c r="CZ10" s="24"/>
      <c r="DA10" s="24"/>
      <c r="DB10" s="24"/>
      <c r="DC10" s="24"/>
      <c r="DD10" s="24"/>
      <c r="DE10" s="38"/>
      <c r="DF10" s="24"/>
      <c r="DG10" s="24"/>
      <c r="DH10" s="24"/>
      <c r="DI10" s="24"/>
      <c r="DJ10" s="24"/>
      <c r="DK10" s="24"/>
      <c r="DL10" s="24"/>
      <c r="DM10" s="24"/>
      <c r="DN10" s="38"/>
      <c r="DO10" s="24"/>
      <c r="DP10" s="24"/>
      <c r="DQ10" s="24"/>
      <c r="DR10" s="24"/>
      <c r="DS10" s="24"/>
      <c r="DT10" s="24"/>
      <c r="DU10" s="24"/>
      <c r="DV10" s="24"/>
      <c r="DW10" s="38"/>
      <c r="DX10" s="24"/>
      <c r="DY10" s="24"/>
      <c r="DZ10" s="24"/>
      <c r="EA10" s="24"/>
      <c r="EB10" s="24"/>
      <c r="EC10" s="24"/>
      <c r="ED10" s="24"/>
      <c r="EE10" s="24"/>
      <c r="EF10" s="38"/>
      <c r="EG10" s="24"/>
      <c r="EH10" s="24"/>
      <c r="EI10" s="24"/>
      <c r="EJ10" s="24"/>
      <c r="EK10" s="24"/>
      <c r="EL10" s="24"/>
      <c r="EM10" s="24"/>
      <c r="EN10" s="24"/>
      <c r="EO10" s="38"/>
      <c r="EP10" s="24"/>
      <c r="EQ10" s="24"/>
      <c r="ER10" s="24"/>
      <c r="ES10" s="24"/>
      <c r="ET10" s="24"/>
      <c r="EU10" s="24"/>
      <c r="EV10" s="24"/>
      <c r="EW10" s="24"/>
      <c r="EX10" s="38"/>
      <c r="EY10" s="24"/>
      <c r="EZ10" s="24"/>
      <c r="FA10" s="24"/>
      <c r="FB10" s="24"/>
      <c r="FC10" s="24"/>
      <c r="FD10" s="24"/>
      <c r="FE10" s="24"/>
      <c r="FF10" s="24"/>
      <c r="FG10" s="38"/>
      <c r="FH10" s="24"/>
      <c r="FI10" s="24"/>
      <c r="FJ10" s="24"/>
      <c r="FK10" s="24"/>
      <c r="FL10" s="24"/>
      <c r="FM10" s="24"/>
      <c r="FN10" s="24"/>
      <c r="FO10" s="24"/>
      <c r="FP10" s="38"/>
      <c r="FQ10" s="24"/>
      <c r="FR10" s="24"/>
      <c r="FS10" s="24"/>
      <c r="FT10" s="24"/>
      <c r="FU10" s="24"/>
      <c r="FV10" s="24"/>
      <c r="FW10" s="24"/>
      <c r="FX10" s="24"/>
      <c r="FY10" s="38"/>
      <c r="FZ10" s="24"/>
      <c r="GA10" s="24"/>
      <c r="GB10" s="24"/>
      <c r="GC10" s="24"/>
      <c r="GD10" s="24"/>
      <c r="GE10" s="24"/>
      <c r="GF10" s="24"/>
      <c r="GG10" s="24"/>
      <c r="GH10" s="38"/>
      <c r="GI10" s="24"/>
      <c r="GJ10" s="24"/>
      <c r="GK10" s="24"/>
      <c r="GL10" s="24"/>
      <c r="GM10" s="24"/>
      <c r="GN10" s="24"/>
      <c r="GO10" s="24"/>
      <c r="GP10" s="24"/>
      <c r="GQ10" s="38"/>
      <c r="GR10" s="24"/>
      <c r="GS10" s="24"/>
      <c r="GT10" s="24"/>
      <c r="GU10" s="24"/>
      <c r="GV10" s="24"/>
      <c r="GW10" s="24"/>
      <c r="GX10" s="24"/>
      <c r="GY10" s="24"/>
      <c r="GZ10" s="38"/>
      <c r="HA10" s="24"/>
      <c r="HB10" s="24"/>
      <c r="HC10" s="24"/>
      <c r="HD10" s="24"/>
      <c r="HE10" s="24"/>
      <c r="HF10" s="24"/>
      <c r="HG10" s="24"/>
      <c r="HH10" s="24"/>
      <c r="HI10" s="38"/>
      <c r="HJ10" s="24"/>
      <c r="HK10" s="24"/>
      <c r="HL10" s="24"/>
      <c r="HM10" s="24"/>
      <c r="HN10" s="24"/>
      <c r="HO10" s="24"/>
      <c r="HP10" s="24"/>
      <c r="HQ10" s="24"/>
      <c r="HR10" s="38"/>
      <c r="HS10" s="24">
        <v>11</v>
      </c>
      <c r="HT10" s="24">
        <v>44350000</v>
      </c>
      <c r="HU10" s="24">
        <v>21</v>
      </c>
      <c r="HV10" s="24">
        <v>62759727</v>
      </c>
      <c r="HW10" s="24">
        <v>82</v>
      </c>
      <c r="HX10" s="24">
        <v>141571515</v>
      </c>
      <c r="HY10" s="24">
        <v>153238387</v>
      </c>
      <c r="HZ10" s="24">
        <v>19854370</v>
      </c>
      <c r="IA10" s="38">
        <v>0.12959999999999999</v>
      </c>
      <c r="IB10" s="24">
        <v>20</v>
      </c>
      <c r="IC10" s="24">
        <v>49770000</v>
      </c>
      <c r="ID10" s="24">
        <v>12</v>
      </c>
      <c r="IE10" s="24">
        <v>37695524</v>
      </c>
      <c r="IF10" s="24">
        <v>90</v>
      </c>
      <c r="IG10" s="24">
        <v>153645991</v>
      </c>
      <c r="IH10" s="24">
        <v>143195978</v>
      </c>
      <c r="II10" s="24">
        <v>17801491</v>
      </c>
      <c r="IJ10" s="38">
        <v>0.12429999999999999</v>
      </c>
      <c r="IK10" s="24">
        <v>12</v>
      </c>
      <c r="IL10" s="24">
        <v>32400000</v>
      </c>
      <c r="IM10" s="24">
        <v>9</v>
      </c>
      <c r="IN10" s="24">
        <v>40298472</v>
      </c>
      <c r="IO10" s="24">
        <v>93</v>
      </c>
      <c r="IP10" s="24">
        <v>145747519</v>
      </c>
      <c r="IQ10" s="24">
        <v>148641823</v>
      </c>
      <c r="IR10" s="24">
        <v>17765767</v>
      </c>
      <c r="IS10" s="38">
        <v>0.1195</v>
      </c>
      <c r="IT10" s="24">
        <v>13</v>
      </c>
      <c r="IU10" s="24">
        <v>32150000</v>
      </c>
      <c r="IV10" s="24">
        <v>17</v>
      </c>
      <c r="IW10" s="24">
        <v>44883968</v>
      </c>
      <c r="IX10" s="24">
        <v>89</v>
      </c>
      <c r="IY10" s="24">
        <v>133013551</v>
      </c>
      <c r="IZ10" s="24">
        <v>139164686</v>
      </c>
      <c r="JA10" s="24">
        <v>15806006</v>
      </c>
      <c r="JB10" s="38">
        <v>0.11360000000000001</v>
      </c>
      <c r="JC10" s="24">
        <v>9</v>
      </c>
      <c r="JD10" s="24">
        <v>25200000</v>
      </c>
      <c r="JE10" s="24">
        <v>24</v>
      </c>
      <c r="JF10" s="24">
        <v>47036601</v>
      </c>
      <c r="JG10" s="24">
        <v>74</v>
      </c>
      <c r="JH10" s="24">
        <v>111176950</v>
      </c>
      <c r="JI10" s="24">
        <v>118185275</v>
      </c>
      <c r="JJ10" s="24">
        <v>13642262</v>
      </c>
      <c r="JK10" s="38">
        <v>0.1154</v>
      </c>
      <c r="JL10" s="24">
        <v>4</v>
      </c>
      <c r="JM10" s="24">
        <v>11300000</v>
      </c>
      <c r="JN10" s="24">
        <v>15</v>
      </c>
      <c r="JO10" s="24">
        <v>34566898</v>
      </c>
      <c r="JP10" s="24">
        <v>63</v>
      </c>
      <c r="JQ10" s="24">
        <v>87910052</v>
      </c>
      <c r="JR10" s="24">
        <v>99927140</v>
      </c>
      <c r="JS10" s="24">
        <v>11057508</v>
      </c>
      <c r="JT10" s="38">
        <v>0.11070000000000001</v>
      </c>
      <c r="JU10" s="24">
        <v>7</v>
      </c>
      <c r="JV10" s="24">
        <v>16600000</v>
      </c>
      <c r="JW10" s="24">
        <v>15</v>
      </c>
      <c r="JX10" s="24">
        <v>27474843</v>
      </c>
      <c r="JY10" s="24">
        <v>55</v>
      </c>
      <c r="JZ10" s="24">
        <v>77035209</v>
      </c>
      <c r="KA10" s="24">
        <v>82620217</v>
      </c>
      <c r="KB10" s="24">
        <v>8945156</v>
      </c>
      <c r="KC10" s="38">
        <v>0.10829999999999999</v>
      </c>
      <c r="KD10" s="24">
        <v>5</v>
      </c>
      <c r="KE10" s="24">
        <v>14900000</v>
      </c>
      <c r="KF10" s="24">
        <v>14</v>
      </c>
      <c r="KG10" s="24">
        <v>29435772</v>
      </c>
      <c r="KH10" s="24">
        <v>46</v>
      </c>
      <c r="KI10" s="24">
        <v>62499437</v>
      </c>
      <c r="KJ10" s="24">
        <v>69614843</v>
      </c>
      <c r="KK10" s="24">
        <v>7670452</v>
      </c>
      <c r="KL10" s="38">
        <v>0.11020000000000001</v>
      </c>
      <c r="KM10" s="24">
        <v>4</v>
      </c>
      <c r="KN10" s="24">
        <v>11300000</v>
      </c>
      <c r="KO10" s="24">
        <v>15</v>
      </c>
      <c r="KP10" s="24">
        <v>22032036</v>
      </c>
      <c r="KQ10" s="24">
        <v>35</v>
      </c>
      <c r="KR10" s="24">
        <v>51767401</v>
      </c>
      <c r="KS10" s="24">
        <v>54015022</v>
      </c>
      <c r="KT10" s="24">
        <v>5934979</v>
      </c>
      <c r="KU10" s="38">
        <v>0.1099</v>
      </c>
      <c r="KV10" s="24">
        <v>2</v>
      </c>
      <c r="KW10" s="24">
        <v>5100000</v>
      </c>
      <c r="KX10" s="24">
        <v>12</v>
      </c>
      <c r="KY10" s="24">
        <v>15316843</v>
      </c>
      <c r="KZ10" s="24">
        <v>25</v>
      </c>
      <c r="LA10" s="24">
        <v>41550558</v>
      </c>
      <c r="LB10" s="24">
        <v>45002327</v>
      </c>
      <c r="LC10" s="24">
        <v>4720031</v>
      </c>
      <c r="LD10" s="38">
        <v>0.10489999999999999</v>
      </c>
      <c r="LE10" s="24">
        <v>2</v>
      </c>
      <c r="LF10" s="24">
        <v>8500000</v>
      </c>
      <c r="LG10" s="24">
        <v>7</v>
      </c>
      <c r="LH10" s="24">
        <v>18380760</v>
      </c>
      <c r="LI10" s="24">
        <v>20</v>
      </c>
      <c r="LJ10" s="24">
        <v>31669798</v>
      </c>
      <c r="LK10" s="24">
        <v>36712207</v>
      </c>
      <c r="LL10" s="24">
        <v>3838616</v>
      </c>
      <c r="LM10" s="38">
        <v>0.1046</v>
      </c>
      <c r="LN10" s="24">
        <v>94</v>
      </c>
      <c r="LO10" s="24">
        <v>117401171</v>
      </c>
      <c r="LP10" s="24">
        <v>5</v>
      </c>
      <c r="LQ10" s="24">
        <v>12238601</v>
      </c>
      <c r="LR10" s="24">
        <v>109</v>
      </c>
      <c r="LS10" s="24">
        <v>136832368</v>
      </c>
      <c r="LT10" s="24">
        <v>49500557</v>
      </c>
      <c r="LU10" s="24">
        <v>4220902</v>
      </c>
      <c r="LV10" s="38">
        <v>8.5300000000000001E-2</v>
      </c>
      <c r="LW10" s="24">
        <v>11</v>
      </c>
      <c r="LX10" s="24">
        <v>25620000</v>
      </c>
      <c r="LY10" s="24">
        <v>22</v>
      </c>
      <c r="LZ10" s="24">
        <v>40969368</v>
      </c>
      <c r="MA10" s="24">
        <v>98</v>
      </c>
      <c r="MB10" s="24">
        <v>121483000</v>
      </c>
      <c r="MC10" s="24">
        <v>128824124</v>
      </c>
      <c r="MD10" s="24">
        <v>10791398</v>
      </c>
      <c r="ME10" s="38">
        <v>8.3799999999999999E-2</v>
      </c>
      <c r="MF10" s="24">
        <v>120</v>
      </c>
      <c r="MG10" s="24">
        <v>235230000</v>
      </c>
      <c r="MH10" s="24">
        <v>31</v>
      </c>
      <c r="MI10" s="24">
        <v>57437389</v>
      </c>
      <c r="MJ10" s="24">
        <v>187</v>
      </c>
      <c r="MK10" s="24">
        <v>299275611</v>
      </c>
      <c r="ML10" s="24">
        <v>234017191</v>
      </c>
      <c r="MM10" s="24">
        <v>18679896</v>
      </c>
      <c r="MN10" s="38">
        <v>7.9799999999999996E-2</v>
      </c>
      <c r="MO10" s="24"/>
      <c r="MP10" s="24"/>
      <c r="MQ10" s="24">
        <v>22</v>
      </c>
      <c r="MR10" s="24">
        <v>64247033</v>
      </c>
      <c r="MS10" s="24">
        <v>165</v>
      </c>
      <c r="MT10" s="24">
        <v>235028578</v>
      </c>
      <c r="MU10" s="24">
        <v>262720202</v>
      </c>
      <c r="MV10" s="24">
        <v>23908803</v>
      </c>
      <c r="MW10" s="38">
        <v>9.0999999999999998E-2</v>
      </c>
      <c r="MX10" s="24"/>
      <c r="MY10" s="24"/>
      <c r="MZ10" s="24">
        <v>24</v>
      </c>
      <c r="NA10" s="24">
        <v>52246403</v>
      </c>
      <c r="NB10" s="24">
        <v>141</v>
      </c>
      <c r="NC10" s="24">
        <v>182782175</v>
      </c>
      <c r="ND10" s="24">
        <v>205139722</v>
      </c>
      <c r="NE10" s="24">
        <v>17864415</v>
      </c>
      <c r="NF10" s="38">
        <v>8.7099999999999997E-2</v>
      </c>
      <c r="NG10" s="24"/>
      <c r="NH10" s="24"/>
      <c r="NI10" s="24">
        <v>24</v>
      </c>
      <c r="NJ10" s="24">
        <v>51865175</v>
      </c>
      <c r="NK10" s="24">
        <v>117</v>
      </c>
      <c r="NL10" s="24">
        <v>130917000</v>
      </c>
      <c r="NM10" s="24">
        <v>155180426</v>
      </c>
      <c r="NN10" s="24">
        <v>13552934</v>
      </c>
      <c r="NO10" s="38">
        <v>8.7300000000000003E-2</v>
      </c>
      <c r="NP10" s="24"/>
      <c r="NQ10" s="24"/>
      <c r="NR10" s="24">
        <v>22</v>
      </c>
      <c r="NS10" s="24">
        <v>32009961</v>
      </c>
      <c r="NT10" s="24">
        <v>95</v>
      </c>
      <c r="NU10" s="24">
        <v>98907039</v>
      </c>
      <c r="NV10" s="24">
        <v>113586179</v>
      </c>
      <c r="NW10" s="24">
        <v>9289142</v>
      </c>
      <c r="NX10" s="38">
        <v>8.1799999999999998E-2</v>
      </c>
      <c r="NY10" s="24"/>
      <c r="NZ10" s="24"/>
      <c r="OA10" s="24">
        <v>21</v>
      </c>
      <c r="OB10" s="24">
        <v>26861808</v>
      </c>
      <c r="OC10" s="24">
        <v>74</v>
      </c>
      <c r="OD10" s="24">
        <v>72045231</v>
      </c>
      <c r="OE10" s="24">
        <v>84283874</v>
      </c>
      <c r="OF10" s="24">
        <v>6235095</v>
      </c>
      <c r="OG10" s="38">
        <v>7.3999999999999996E-2</v>
      </c>
      <c r="OH10" s="24"/>
      <c r="OI10" s="24"/>
      <c r="OJ10" s="24">
        <v>26</v>
      </c>
      <c r="OK10" s="24">
        <v>28961385</v>
      </c>
      <c r="OL10" s="24">
        <v>48</v>
      </c>
      <c r="OM10" s="24">
        <v>43083846</v>
      </c>
      <c r="ON10" s="24">
        <v>58984868</v>
      </c>
      <c r="OO10" s="24">
        <v>4208438</v>
      </c>
      <c r="OP10" s="38">
        <v>7.1300000000000002E-2</v>
      </c>
      <c r="OQ10" s="24"/>
      <c r="OR10" s="24"/>
      <c r="OS10" s="24">
        <v>13</v>
      </c>
      <c r="OT10" s="24">
        <v>13309378</v>
      </c>
      <c r="OU10" s="24">
        <v>35</v>
      </c>
      <c r="OV10" s="24">
        <v>29774468</v>
      </c>
      <c r="OW10" s="24">
        <v>34885864</v>
      </c>
      <c r="OX10" s="24">
        <v>2440896</v>
      </c>
      <c r="OY10" s="38">
        <v>7.0000000000000007E-2</v>
      </c>
    </row>
    <row r="11" spans="1:424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  <c r="K11" s="24"/>
      <c r="L11" s="24"/>
      <c r="M11" s="24"/>
      <c r="N11" s="24"/>
      <c r="O11" s="24"/>
      <c r="P11" s="24"/>
      <c r="Q11" s="24"/>
      <c r="R11" s="24"/>
      <c r="S11" s="38"/>
      <c r="T11" s="24"/>
      <c r="U11" s="24"/>
      <c r="V11" s="24"/>
      <c r="W11" s="24"/>
      <c r="X11" s="24"/>
      <c r="Y11" s="24"/>
      <c r="Z11" s="24"/>
      <c r="AA11" s="24"/>
      <c r="AB11" s="38"/>
      <c r="AC11" s="24"/>
      <c r="AD11" s="24"/>
      <c r="AE11" s="24"/>
      <c r="AF11" s="24"/>
      <c r="AG11" s="24"/>
      <c r="AH11" s="24"/>
      <c r="AI11" s="24"/>
      <c r="AJ11" s="24"/>
      <c r="AK11" s="38"/>
      <c r="AL11" s="24"/>
      <c r="AM11" s="24"/>
      <c r="AN11" s="24"/>
      <c r="AO11" s="24"/>
      <c r="AP11" s="24"/>
      <c r="AQ11" s="24"/>
      <c r="AR11" s="24"/>
      <c r="AS11" s="24"/>
      <c r="AT11" s="38"/>
      <c r="AU11" s="24"/>
      <c r="AV11" s="24"/>
      <c r="AW11" s="24"/>
      <c r="AX11" s="24"/>
      <c r="AY11" s="24"/>
      <c r="AZ11" s="24"/>
      <c r="BA11" s="24"/>
      <c r="BB11" s="24"/>
      <c r="BC11" s="38"/>
      <c r="BD11" s="24"/>
      <c r="BE11" s="24"/>
      <c r="BF11" s="24"/>
      <c r="BG11" s="24"/>
      <c r="BH11" s="24"/>
      <c r="BI11" s="24"/>
      <c r="BJ11" s="24"/>
      <c r="BK11" s="24"/>
      <c r="BL11" s="38"/>
      <c r="BM11" s="24"/>
      <c r="BN11" s="24"/>
      <c r="BO11" s="24"/>
      <c r="BP11" s="24"/>
      <c r="BQ11" s="24"/>
      <c r="BR11" s="24"/>
      <c r="BS11" s="24"/>
      <c r="BT11" s="24"/>
      <c r="BU11" s="38"/>
      <c r="BV11" s="24"/>
      <c r="BW11" s="24"/>
      <c r="BX11" s="24"/>
      <c r="BY11" s="24"/>
      <c r="BZ11" s="24"/>
      <c r="CA11" s="24"/>
      <c r="CB11" s="24"/>
      <c r="CC11" s="24"/>
      <c r="CD11" s="38"/>
      <c r="CE11" s="24"/>
      <c r="CF11" s="24"/>
      <c r="CG11" s="24"/>
      <c r="CH11" s="24"/>
      <c r="CI11" s="24"/>
      <c r="CJ11" s="24"/>
      <c r="CK11" s="24"/>
      <c r="CL11" s="24"/>
      <c r="CM11" s="38"/>
      <c r="CN11" s="24"/>
      <c r="CO11" s="24"/>
      <c r="CP11" s="24"/>
      <c r="CQ11" s="24"/>
      <c r="CR11" s="24"/>
      <c r="CS11" s="24"/>
      <c r="CT11" s="24"/>
      <c r="CU11" s="24"/>
      <c r="CV11" s="38"/>
      <c r="CW11" s="24"/>
      <c r="CX11" s="24"/>
      <c r="CY11" s="24"/>
      <c r="CZ11" s="24"/>
      <c r="DA11" s="24"/>
      <c r="DB11" s="24"/>
      <c r="DC11" s="24"/>
      <c r="DD11" s="24"/>
      <c r="DE11" s="38"/>
      <c r="DF11" s="24"/>
      <c r="DG11" s="24"/>
      <c r="DH11" s="24"/>
      <c r="DI11" s="24"/>
      <c r="DJ11" s="24"/>
      <c r="DK11" s="24"/>
      <c r="DL11" s="24"/>
      <c r="DM11" s="24"/>
      <c r="DN11" s="38"/>
      <c r="DO11" s="24"/>
      <c r="DP11" s="24"/>
      <c r="DQ11" s="24"/>
      <c r="DR11" s="24"/>
      <c r="DS11" s="24"/>
      <c r="DT11" s="24"/>
      <c r="DU11" s="24"/>
      <c r="DV11" s="24"/>
      <c r="DW11" s="38"/>
      <c r="DX11" s="24"/>
      <c r="DY11" s="24"/>
      <c r="DZ11" s="24"/>
      <c r="EA11" s="24"/>
      <c r="EB11" s="24"/>
      <c r="EC11" s="24"/>
      <c r="ED11" s="24"/>
      <c r="EE11" s="24"/>
      <c r="EF11" s="38"/>
      <c r="EG11" s="24"/>
      <c r="EH11" s="24"/>
      <c r="EI11" s="24"/>
      <c r="EJ11" s="24"/>
      <c r="EK11" s="24"/>
      <c r="EL11" s="24"/>
      <c r="EM11" s="24"/>
      <c r="EN11" s="24"/>
      <c r="EO11" s="38"/>
      <c r="EP11" s="24"/>
      <c r="EQ11" s="24"/>
      <c r="ER11" s="24"/>
      <c r="ES11" s="24"/>
      <c r="ET11" s="24"/>
      <c r="EU11" s="24"/>
      <c r="EV11" s="24"/>
      <c r="EW11" s="24"/>
      <c r="EX11" s="38"/>
      <c r="EY11" s="24"/>
      <c r="EZ11" s="24"/>
      <c r="FA11" s="24"/>
      <c r="FB11" s="24"/>
      <c r="FC11" s="24"/>
      <c r="FD11" s="24"/>
      <c r="FE11" s="24"/>
      <c r="FF11" s="24"/>
      <c r="FG11" s="38"/>
      <c r="FH11" s="24"/>
      <c r="FI11" s="24"/>
      <c r="FJ11" s="24"/>
      <c r="FK11" s="24"/>
      <c r="FL11" s="24"/>
      <c r="FM11" s="24"/>
      <c r="FN11" s="24"/>
      <c r="FO11" s="24"/>
      <c r="FP11" s="38"/>
      <c r="FQ11" s="24"/>
      <c r="FR11" s="24"/>
      <c r="FS11" s="24"/>
      <c r="FT11" s="24"/>
      <c r="FU11" s="24"/>
      <c r="FV11" s="24"/>
      <c r="FW11" s="24"/>
      <c r="FX11" s="24"/>
      <c r="FY11" s="38"/>
      <c r="FZ11" s="24"/>
      <c r="GA11" s="24"/>
      <c r="GB11" s="24"/>
      <c r="GC11" s="24"/>
      <c r="GD11" s="24"/>
      <c r="GE11" s="24"/>
      <c r="GF11" s="24"/>
      <c r="GG11" s="24"/>
      <c r="GH11" s="38"/>
      <c r="GI11" s="24"/>
      <c r="GJ11" s="24"/>
      <c r="GK11" s="24"/>
      <c r="GL11" s="24"/>
      <c r="GM11" s="24"/>
      <c r="GN11" s="24"/>
      <c r="GO11" s="24"/>
      <c r="GP11" s="24"/>
      <c r="GQ11" s="38"/>
      <c r="GR11" s="24"/>
      <c r="GS11" s="24"/>
      <c r="GT11" s="24"/>
      <c r="GU11" s="24"/>
      <c r="GV11" s="24"/>
      <c r="GW11" s="24"/>
      <c r="GX11" s="24"/>
      <c r="GY11" s="24"/>
      <c r="GZ11" s="38"/>
      <c r="HA11" s="24"/>
      <c r="HB11" s="24"/>
      <c r="HC11" s="24"/>
      <c r="HD11" s="24"/>
      <c r="HE11" s="24"/>
      <c r="HF11" s="24"/>
      <c r="HG11" s="24"/>
      <c r="HH11" s="24"/>
      <c r="HI11" s="38"/>
      <c r="HJ11" s="24"/>
      <c r="HK11" s="24"/>
      <c r="HL11" s="24"/>
      <c r="HM11" s="24"/>
      <c r="HN11" s="24"/>
      <c r="HO11" s="24"/>
      <c r="HP11" s="24"/>
      <c r="HQ11" s="24"/>
      <c r="HR11" s="38"/>
      <c r="HS11" s="24">
        <v>132</v>
      </c>
      <c r="HT11" s="24">
        <v>379820000</v>
      </c>
      <c r="HU11" s="24">
        <v>52</v>
      </c>
      <c r="HV11" s="24">
        <v>237940210</v>
      </c>
      <c r="HW11" s="24">
        <v>461</v>
      </c>
      <c r="HX11" s="24">
        <v>1009010950</v>
      </c>
      <c r="HY11" s="24">
        <v>951962266</v>
      </c>
      <c r="HZ11" s="24">
        <v>92499560</v>
      </c>
      <c r="IA11" s="38">
        <v>9.7199999999999995E-2</v>
      </c>
      <c r="IB11" s="24">
        <v>113</v>
      </c>
      <c r="IC11" s="24">
        <v>333360000</v>
      </c>
      <c r="ID11" s="24">
        <v>67</v>
      </c>
      <c r="IE11" s="24">
        <v>315617043</v>
      </c>
      <c r="IF11" s="24">
        <v>507</v>
      </c>
      <c r="IG11" s="24">
        <v>1026753907</v>
      </c>
      <c r="IH11" s="24">
        <v>1042743129</v>
      </c>
      <c r="II11" s="24">
        <v>100616990</v>
      </c>
      <c r="IJ11" s="38">
        <v>9.6500000000000002E-2</v>
      </c>
      <c r="IK11" s="24">
        <v>259</v>
      </c>
      <c r="IL11" s="24">
        <v>811320000</v>
      </c>
      <c r="IM11" s="24">
        <v>81</v>
      </c>
      <c r="IN11" s="24">
        <v>373692871</v>
      </c>
      <c r="IO11" s="24">
        <v>685</v>
      </c>
      <c r="IP11" s="24">
        <v>1464381036</v>
      </c>
      <c r="IQ11" s="24">
        <v>1275522349</v>
      </c>
      <c r="IR11" s="24">
        <v>118418945</v>
      </c>
      <c r="IS11" s="38">
        <v>9.2799999999999994E-2</v>
      </c>
      <c r="IT11" s="24">
        <v>116</v>
      </c>
      <c r="IU11" s="24">
        <v>362590000</v>
      </c>
      <c r="IV11" s="24">
        <v>94</v>
      </c>
      <c r="IW11" s="24">
        <v>396228283</v>
      </c>
      <c r="IX11" s="24">
        <v>707</v>
      </c>
      <c r="IY11" s="24">
        <v>1430742753</v>
      </c>
      <c r="IZ11" s="24">
        <v>1435344665</v>
      </c>
      <c r="JA11" s="24">
        <v>136682393</v>
      </c>
      <c r="JB11" s="38">
        <v>9.5200000000000007E-2</v>
      </c>
      <c r="JC11" s="24">
        <v>194</v>
      </c>
      <c r="JD11" s="24">
        <v>586800000</v>
      </c>
      <c r="JE11" s="24">
        <v>131</v>
      </c>
      <c r="JF11" s="24">
        <v>452085320</v>
      </c>
      <c r="JG11" s="24">
        <v>770</v>
      </c>
      <c r="JH11" s="24">
        <v>1565457433</v>
      </c>
      <c r="JI11" s="24">
        <v>1503196265</v>
      </c>
      <c r="JJ11" s="24">
        <v>139599246</v>
      </c>
      <c r="JK11" s="38">
        <v>9.2899999999999996E-2</v>
      </c>
      <c r="JL11" s="24">
        <v>179</v>
      </c>
      <c r="JM11" s="24">
        <v>549980000</v>
      </c>
      <c r="JN11" s="24">
        <v>144</v>
      </c>
      <c r="JO11" s="24">
        <v>481764236</v>
      </c>
      <c r="JP11" s="24">
        <v>805</v>
      </c>
      <c r="JQ11" s="24">
        <v>1633673197</v>
      </c>
      <c r="JR11" s="24">
        <v>1640792570</v>
      </c>
      <c r="JS11" s="24">
        <v>152473057</v>
      </c>
      <c r="JT11" s="38">
        <v>9.2899999999999996E-2</v>
      </c>
      <c r="JU11" s="24">
        <v>133</v>
      </c>
      <c r="JV11" s="24">
        <v>404530000</v>
      </c>
      <c r="JW11" s="24">
        <v>116</v>
      </c>
      <c r="JX11" s="24">
        <v>442566574</v>
      </c>
      <c r="JY11" s="24">
        <v>822</v>
      </c>
      <c r="JZ11" s="24">
        <v>1595636623</v>
      </c>
      <c r="KA11" s="24">
        <v>1600373721</v>
      </c>
      <c r="KB11" s="24">
        <v>148920142</v>
      </c>
      <c r="KC11" s="38">
        <v>9.3100000000000002E-2</v>
      </c>
      <c r="KD11" s="24">
        <v>85</v>
      </c>
      <c r="KE11" s="24">
        <v>236120000</v>
      </c>
      <c r="KF11" s="24">
        <v>130</v>
      </c>
      <c r="KG11" s="24">
        <v>413473494</v>
      </c>
      <c r="KH11" s="24">
        <v>777</v>
      </c>
      <c r="KI11" s="24">
        <v>1418283129</v>
      </c>
      <c r="KJ11" s="24">
        <v>1515461498</v>
      </c>
      <c r="KK11" s="24">
        <v>141965453</v>
      </c>
      <c r="KL11" s="38">
        <v>9.3700000000000006E-2</v>
      </c>
      <c r="KM11" s="24">
        <v>74</v>
      </c>
      <c r="KN11" s="24">
        <v>208390000</v>
      </c>
      <c r="KO11" s="24">
        <v>122</v>
      </c>
      <c r="KP11" s="24">
        <v>376903932</v>
      </c>
      <c r="KQ11" s="24">
        <v>729</v>
      </c>
      <c r="KR11" s="24">
        <v>1249769197</v>
      </c>
      <c r="KS11" s="24">
        <v>1327200178</v>
      </c>
      <c r="KT11" s="24">
        <v>124549782</v>
      </c>
      <c r="KU11" s="38">
        <v>9.3799999999999994E-2</v>
      </c>
      <c r="KV11" s="24">
        <v>105</v>
      </c>
      <c r="KW11" s="24">
        <v>254810000</v>
      </c>
      <c r="KX11" s="24">
        <v>127</v>
      </c>
      <c r="KY11" s="24">
        <v>320399630</v>
      </c>
      <c r="KZ11" s="24">
        <v>707</v>
      </c>
      <c r="LA11" s="24">
        <v>1184179567</v>
      </c>
      <c r="LB11" s="24">
        <v>1189886859</v>
      </c>
      <c r="LC11" s="24">
        <v>110653616</v>
      </c>
      <c r="LD11" s="38">
        <v>9.2999999999999999E-2</v>
      </c>
      <c r="LE11" s="24">
        <v>49</v>
      </c>
      <c r="LF11" s="24">
        <v>122280694</v>
      </c>
      <c r="LG11" s="24">
        <v>123</v>
      </c>
      <c r="LH11" s="24">
        <v>355382186</v>
      </c>
      <c r="LI11" s="24">
        <v>633</v>
      </c>
      <c r="LJ11" s="24">
        <v>951078075</v>
      </c>
      <c r="LK11" s="24">
        <v>1058837972</v>
      </c>
      <c r="LL11" s="24">
        <v>98624026</v>
      </c>
      <c r="LM11" s="38">
        <v>9.3100000000000002E-2</v>
      </c>
      <c r="LN11" s="24">
        <v>12</v>
      </c>
      <c r="LO11" s="24">
        <v>26240000</v>
      </c>
      <c r="LP11" s="24">
        <v>138</v>
      </c>
      <c r="LQ11" s="24">
        <v>287251745</v>
      </c>
      <c r="LR11" s="24">
        <v>507</v>
      </c>
      <c r="LS11" s="24">
        <v>690066330</v>
      </c>
      <c r="LT11" s="24">
        <v>812597975</v>
      </c>
      <c r="LU11" s="24">
        <v>75517874</v>
      </c>
      <c r="LV11" s="38">
        <v>9.2899999999999996E-2</v>
      </c>
      <c r="LW11" s="24">
        <v>86</v>
      </c>
      <c r="LX11" s="24">
        <v>194030000</v>
      </c>
      <c r="LY11" s="24">
        <v>109</v>
      </c>
      <c r="LZ11" s="24">
        <v>208744051</v>
      </c>
      <c r="MA11" s="24">
        <v>484</v>
      </c>
      <c r="MB11" s="24">
        <v>675352279</v>
      </c>
      <c r="MC11" s="24">
        <v>698750131</v>
      </c>
      <c r="MD11" s="24">
        <v>58794810</v>
      </c>
      <c r="ME11" s="38">
        <v>8.4099999999999994E-2</v>
      </c>
      <c r="MF11" s="24">
        <v>8</v>
      </c>
      <c r="MG11" s="24">
        <v>16260000</v>
      </c>
      <c r="MH11" s="24">
        <v>108</v>
      </c>
      <c r="MI11" s="24">
        <v>207856250</v>
      </c>
      <c r="MJ11" s="24">
        <v>384</v>
      </c>
      <c r="MK11" s="24">
        <v>483756029</v>
      </c>
      <c r="ML11" s="24">
        <v>565517398</v>
      </c>
      <c r="MM11" s="24">
        <v>46795554</v>
      </c>
      <c r="MN11" s="38">
        <v>8.2699999999999996E-2</v>
      </c>
      <c r="MO11" s="24">
        <v>11</v>
      </c>
      <c r="MP11" s="24">
        <v>31910000</v>
      </c>
      <c r="MQ11" s="24">
        <v>97</v>
      </c>
      <c r="MR11" s="24">
        <v>134502808</v>
      </c>
      <c r="MS11" s="24">
        <v>298</v>
      </c>
      <c r="MT11" s="24">
        <v>381163221</v>
      </c>
      <c r="MU11" s="24">
        <v>422445343</v>
      </c>
      <c r="MV11" s="24">
        <v>36523179</v>
      </c>
      <c r="MW11" s="38">
        <v>8.6499999999999994E-2</v>
      </c>
      <c r="MX11" s="24">
        <v>6</v>
      </c>
      <c r="MY11" s="24">
        <v>10920000</v>
      </c>
      <c r="MZ11" s="24">
        <v>72</v>
      </c>
      <c r="NA11" s="24">
        <v>116190776</v>
      </c>
      <c r="NB11" s="24">
        <v>232</v>
      </c>
      <c r="NC11" s="24">
        <v>275892445</v>
      </c>
      <c r="ND11" s="24">
        <v>319667122</v>
      </c>
      <c r="NE11" s="24">
        <v>27397702</v>
      </c>
      <c r="NF11" s="38">
        <v>8.5699999999999998E-2</v>
      </c>
      <c r="NG11" s="24">
        <v>25</v>
      </c>
      <c r="NH11" s="24">
        <v>49410000</v>
      </c>
      <c r="NI11" s="24">
        <v>69</v>
      </c>
      <c r="NJ11" s="24">
        <v>89409431</v>
      </c>
      <c r="NK11" s="24">
        <v>188</v>
      </c>
      <c r="NL11" s="24">
        <v>235893014</v>
      </c>
      <c r="NM11" s="24">
        <v>265655295</v>
      </c>
      <c r="NN11" s="24">
        <v>22296974</v>
      </c>
      <c r="NO11" s="38">
        <v>8.3900000000000002E-2</v>
      </c>
      <c r="NP11" s="24">
        <v>6</v>
      </c>
      <c r="NQ11" s="24">
        <v>13490000</v>
      </c>
      <c r="NR11" s="24">
        <v>36</v>
      </c>
      <c r="NS11" s="24">
        <v>56585644</v>
      </c>
      <c r="NT11" s="24">
        <v>158</v>
      </c>
      <c r="NU11" s="24">
        <v>192797370</v>
      </c>
      <c r="NV11" s="24">
        <v>214446963</v>
      </c>
      <c r="NW11" s="24">
        <v>17005747</v>
      </c>
      <c r="NX11" s="38">
        <v>7.9299999999999995E-2</v>
      </c>
      <c r="NY11" s="24">
        <v>2</v>
      </c>
      <c r="NZ11" s="24">
        <v>4200000</v>
      </c>
      <c r="OA11" s="24">
        <v>24</v>
      </c>
      <c r="OB11" s="24">
        <v>51953946</v>
      </c>
      <c r="OC11" s="24">
        <v>136</v>
      </c>
      <c r="OD11" s="24">
        <v>145043424</v>
      </c>
      <c r="OE11" s="24">
        <v>166750599</v>
      </c>
      <c r="OF11" s="24">
        <v>12683485</v>
      </c>
      <c r="OG11" s="38">
        <v>7.6100000000000001E-2</v>
      </c>
      <c r="OH11" s="24">
        <v>5</v>
      </c>
      <c r="OI11" s="24">
        <v>8790000</v>
      </c>
      <c r="OJ11" s="24">
        <v>33</v>
      </c>
      <c r="OK11" s="24">
        <v>34323397</v>
      </c>
      <c r="OL11" s="24">
        <v>108</v>
      </c>
      <c r="OM11" s="24">
        <v>119510027</v>
      </c>
      <c r="ON11" s="24">
        <v>128262970</v>
      </c>
      <c r="OO11" s="24">
        <v>8686080</v>
      </c>
      <c r="OP11" s="38">
        <v>6.7699999999999996E-2</v>
      </c>
      <c r="OQ11" s="24">
        <v>13</v>
      </c>
      <c r="OR11" s="24">
        <v>34620000</v>
      </c>
      <c r="OS11" s="24">
        <v>23</v>
      </c>
      <c r="OT11" s="24">
        <v>32169304</v>
      </c>
      <c r="OU11" s="24">
        <v>98</v>
      </c>
      <c r="OV11" s="24">
        <v>121960723</v>
      </c>
      <c r="OW11" s="24">
        <v>116494872</v>
      </c>
      <c r="OX11" s="24">
        <v>8180355</v>
      </c>
      <c r="OY11" s="38">
        <v>7.0199999999999999E-2</v>
      </c>
    </row>
    <row r="12" spans="1:424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  <c r="K12" s="24"/>
      <c r="L12" s="24"/>
      <c r="M12" s="24"/>
      <c r="N12" s="24"/>
      <c r="O12" s="24"/>
      <c r="P12" s="24"/>
      <c r="Q12" s="24"/>
      <c r="R12" s="24"/>
      <c r="S12" s="38"/>
      <c r="T12" s="24"/>
      <c r="U12" s="24"/>
      <c r="V12" s="24"/>
      <c r="W12" s="24"/>
      <c r="X12" s="24"/>
      <c r="Y12" s="24"/>
      <c r="Z12" s="24"/>
      <c r="AA12" s="24"/>
      <c r="AB12" s="38"/>
      <c r="AC12" s="24"/>
      <c r="AD12" s="24"/>
      <c r="AE12" s="24"/>
      <c r="AF12" s="24"/>
      <c r="AG12" s="24"/>
      <c r="AH12" s="24"/>
      <c r="AI12" s="24"/>
      <c r="AJ12" s="24"/>
      <c r="AK12" s="38"/>
      <c r="AL12" s="24"/>
      <c r="AM12" s="24"/>
      <c r="AN12" s="24"/>
      <c r="AO12" s="24"/>
      <c r="AP12" s="24"/>
      <c r="AQ12" s="24"/>
      <c r="AR12" s="24"/>
      <c r="AS12" s="24"/>
      <c r="AT12" s="38"/>
      <c r="AU12" s="24"/>
      <c r="AV12" s="24"/>
      <c r="AW12" s="24"/>
      <c r="AX12" s="24"/>
      <c r="AY12" s="24"/>
      <c r="AZ12" s="24"/>
      <c r="BA12" s="24"/>
      <c r="BB12" s="24"/>
      <c r="BC12" s="38"/>
      <c r="BD12" s="24"/>
      <c r="BE12" s="24"/>
      <c r="BF12" s="24"/>
      <c r="BG12" s="24"/>
      <c r="BH12" s="24"/>
      <c r="BI12" s="24"/>
      <c r="BJ12" s="24"/>
      <c r="BK12" s="24"/>
      <c r="BL12" s="38"/>
      <c r="BM12" s="24"/>
      <c r="BN12" s="24"/>
      <c r="BO12" s="24"/>
      <c r="BP12" s="24"/>
      <c r="BQ12" s="24"/>
      <c r="BR12" s="24"/>
      <c r="BS12" s="24"/>
      <c r="BT12" s="24"/>
      <c r="BU12" s="38"/>
      <c r="BV12" s="24"/>
      <c r="BW12" s="24"/>
      <c r="BX12" s="24"/>
      <c r="BY12" s="24"/>
      <c r="BZ12" s="24"/>
      <c r="CA12" s="24"/>
      <c r="CB12" s="24"/>
      <c r="CC12" s="24"/>
      <c r="CD12" s="38"/>
      <c r="CE12" s="24"/>
      <c r="CF12" s="24"/>
      <c r="CG12" s="24"/>
      <c r="CH12" s="24"/>
      <c r="CI12" s="24"/>
      <c r="CJ12" s="24"/>
      <c r="CK12" s="24"/>
      <c r="CL12" s="24"/>
      <c r="CM12" s="38"/>
      <c r="CN12" s="24"/>
      <c r="CO12" s="24"/>
      <c r="CP12" s="24"/>
      <c r="CQ12" s="24"/>
      <c r="CR12" s="24"/>
      <c r="CS12" s="24"/>
      <c r="CT12" s="24"/>
      <c r="CU12" s="24"/>
      <c r="CV12" s="38"/>
      <c r="CW12" s="24"/>
      <c r="CX12" s="24"/>
      <c r="CY12" s="24"/>
      <c r="CZ12" s="24"/>
      <c r="DA12" s="24"/>
      <c r="DB12" s="24"/>
      <c r="DC12" s="24"/>
      <c r="DD12" s="24"/>
      <c r="DE12" s="38"/>
      <c r="DF12" s="24"/>
      <c r="DG12" s="24"/>
      <c r="DH12" s="24"/>
      <c r="DI12" s="24"/>
      <c r="DJ12" s="24"/>
      <c r="DK12" s="24"/>
      <c r="DL12" s="24"/>
      <c r="DM12" s="24"/>
      <c r="DN12" s="38"/>
      <c r="DO12" s="24"/>
      <c r="DP12" s="24"/>
      <c r="DQ12" s="24"/>
      <c r="DR12" s="24"/>
      <c r="DS12" s="24"/>
      <c r="DT12" s="24"/>
      <c r="DU12" s="24"/>
      <c r="DV12" s="24"/>
      <c r="DW12" s="38"/>
      <c r="DX12" s="24"/>
      <c r="DY12" s="24"/>
      <c r="DZ12" s="24"/>
      <c r="EA12" s="24"/>
      <c r="EB12" s="24"/>
      <c r="EC12" s="24"/>
      <c r="ED12" s="24"/>
      <c r="EE12" s="24"/>
      <c r="EF12" s="38"/>
      <c r="EG12" s="24"/>
      <c r="EH12" s="24"/>
      <c r="EI12" s="24"/>
      <c r="EJ12" s="24"/>
      <c r="EK12" s="24"/>
      <c r="EL12" s="24"/>
      <c r="EM12" s="24"/>
      <c r="EN12" s="24"/>
      <c r="EO12" s="38"/>
      <c r="EP12" s="24"/>
      <c r="EQ12" s="24"/>
      <c r="ER12" s="24"/>
      <c r="ES12" s="24"/>
      <c r="ET12" s="24"/>
      <c r="EU12" s="24"/>
      <c r="EV12" s="24"/>
      <c r="EW12" s="24"/>
      <c r="EX12" s="38"/>
      <c r="EY12" s="24"/>
      <c r="EZ12" s="24"/>
      <c r="FA12" s="24"/>
      <c r="FB12" s="24"/>
      <c r="FC12" s="24"/>
      <c r="FD12" s="24"/>
      <c r="FE12" s="24"/>
      <c r="FF12" s="24"/>
      <c r="FG12" s="38"/>
      <c r="FH12" s="24"/>
      <c r="FI12" s="24"/>
      <c r="FJ12" s="24"/>
      <c r="FK12" s="24"/>
      <c r="FL12" s="24"/>
      <c r="FM12" s="24"/>
      <c r="FN12" s="24"/>
      <c r="FO12" s="24"/>
      <c r="FP12" s="38"/>
      <c r="FQ12" s="24"/>
      <c r="FR12" s="24"/>
      <c r="FS12" s="24"/>
      <c r="FT12" s="24"/>
      <c r="FU12" s="24"/>
      <c r="FV12" s="24"/>
      <c r="FW12" s="24"/>
      <c r="FX12" s="24"/>
      <c r="FY12" s="38"/>
      <c r="FZ12" s="24"/>
      <c r="GA12" s="24"/>
      <c r="GB12" s="24"/>
      <c r="GC12" s="24"/>
      <c r="GD12" s="24"/>
      <c r="GE12" s="24"/>
      <c r="GF12" s="24"/>
      <c r="GG12" s="24"/>
      <c r="GH12" s="38"/>
      <c r="GI12" s="24"/>
      <c r="GJ12" s="24"/>
      <c r="GK12" s="24"/>
      <c r="GL12" s="24"/>
      <c r="GM12" s="24"/>
      <c r="GN12" s="24"/>
      <c r="GO12" s="24"/>
      <c r="GP12" s="24"/>
      <c r="GQ12" s="38"/>
      <c r="GR12" s="24"/>
      <c r="GS12" s="24"/>
      <c r="GT12" s="24"/>
      <c r="GU12" s="24"/>
      <c r="GV12" s="24"/>
      <c r="GW12" s="24"/>
      <c r="GX12" s="24"/>
      <c r="GY12" s="24"/>
      <c r="GZ12" s="38"/>
      <c r="HA12" s="24"/>
      <c r="HB12" s="24"/>
      <c r="HC12" s="24"/>
      <c r="HD12" s="24"/>
      <c r="HE12" s="24"/>
      <c r="HF12" s="24"/>
      <c r="HG12" s="24"/>
      <c r="HH12" s="24"/>
      <c r="HI12" s="38"/>
      <c r="HJ12" s="24"/>
      <c r="HK12" s="24"/>
      <c r="HL12" s="24"/>
      <c r="HM12" s="24"/>
      <c r="HN12" s="24"/>
      <c r="HO12" s="24"/>
      <c r="HP12" s="24"/>
      <c r="HQ12" s="24"/>
      <c r="HR12" s="38"/>
      <c r="HS12" s="24"/>
      <c r="HT12" s="24"/>
      <c r="HU12" s="24"/>
      <c r="HV12" s="24"/>
      <c r="HW12" s="24"/>
      <c r="HX12" s="24"/>
      <c r="HY12" s="24"/>
      <c r="HZ12" s="24"/>
      <c r="IA12" s="38"/>
      <c r="IB12" s="24"/>
      <c r="IC12" s="24"/>
      <c r="ID12" s="24"/>
      <c r="IE12" s="24"/>
      <c r="IF12" s="24"/>
      <c r="IG12" s="24"/>
      <c r="IH12" s="24"/>
      <c r="II12" s="24"/>
      <c r="IJ12" s="38"/>
      <c r="IK12" s="24"/>
      <c r="IL12" s="24"/>
      <c r="IM12" s="24"/>
      <c r="IN12" s="24"/>
      <c r="IO12" s="24"/>
      <c r="IP12" s="24"/>
      <c r="IQ12" s="24"/>
      <c r="IR12" s="24"/>
      <c r="IS12" s="38"/>
      <c r="IT12" s="24"/>
      <c r="IU12" s="24"/>
      <c r="IV12" s="24"/>
      <c r="IW12" s="24"/>
      <c r="IX12" s="24"/>
      <c r="IY12" s="24"/>
      <c r="IZ12" s="24"/>
      <c r="JA12" s="24"/>
      <c r="JB12" s="38"/>
      <c r="JC12" s="24"/>
      <c r="JD12" s="24"/>
      <c r="JE12" s="24"/>
      <c r="JF12" s="24"/>
      <c r="JG12" s="24"/>
      <c r="JH12" s="24"/>
      <c r="JI12" s="24"/>
      <c r="JJ12" s="24"/>
      <c r="JK12" s="38"/>
      <c r="JL12" s="24"/>
      <c r="JM12" s="24"/>
      <c r="JN12" s="24"/>
      <c r="JO12" s="24"/>
      <c r="JP12" s="24"/>
      <c r="JQ12" s="24"/>
      <c r="JR12" s="24"/>
      <c r="JS12" s="24"/>
      <c r="JT12" s="38"/>
      <c r="JU12" s="24"/>
      <c r="JV12" s="24"/>
      <c r="JW12" s="24"/>
      <c r="JX12" s="24"/>
      <c r="JY12" s="24"/>
      <c r="JZ12" s="24"/>
      <c r="KA12" s="24"/>
      <c r="KB12" s="24"/>
      <c r="KC12" s="38"/>
      <c r="KD12" s="24"/>
      <c r="KE12" s="24"/>
      <c r="KF12" s="24"/>
      <c r="KG12" s="24"/>
      <c r="KH12" s="24"/>
      <c r="KI12" s="24"/>
      <c r="KJ12" s="24"/>
      <c r="KK12" s="24"/>
      <c r="KL12" s="38"/>
      <c r="KM12" s="24"/>
      <c r="KN12" s="24"/>
      <c r="KO12" s="24"/>
      <c r="KP12" s="24"/>
      <c r="KQ12" s="24"/>
      <c r="KR12" s="24"/>
      <c r="KS12" s="24"/>
      <c r="KT12" s="24"/>
      <c r="KU12" s="38"/>
      <c r="KV12" s="24"/>
      <c r="KW12" s="24"/>
      <c r="KX12" s="24"/>
      <c r="KY12" s="24"/>
      <c r="KZ12" s="24"/>
      <c r="LA12" s="24"/>
      <c r="LB12" s="24"/>
      <c r="LC12" s="24"/>
      <c r="LD12" s="38"/>
      <c r="LE12" s="24">
        <v>6</v>
      </c>
      <c r="LF12" s="24">
        <v>1060000</v>
      </c>
      <c r="LG12" s="24">
        <v>0</v>
      </c>
      <c r="LH12" s="24"/>
      <c r="LI12" s="24">
        <v>6</v>
      </c>
      <c r="LJ12" s="24">
        <v>1060000</v>
      </c>
      <c r="LK12" s="24"/>
      <c r="LL12" s="24"/>
      <c r="LM12" s="38"/>
      <c r="LN12" s="24">
        <v>80</v>
      </c>
      <c r="LO12" s="24">
        <v>20560000</v>
      </c>
      <c r="LP12" s="24">
        <v>11</v>
      </c>
      <c r="LQ12" s="24">
        <v>4004881</v>
      </c>
      <c r="LR12" s="24">
        <v>75</v>
      </c>
      <c r="LS12" s="24">
        <v>17615119</v>
      </c>
      <c r="LT12" s="24">
        <v>7024597</v>
      </c>
      <c r="LU12" s="24">
        <v>442342</v>
      </c>
      <c r="LV12" s="38"/>
      <c r="LW12" s="24">
        <v>282</v>
      </c>
      <c r="LX12" s="24">
        <v>92610000</v>
      </c>
      <c r="LY12" s="24">
        <v>91</v>
      </c>
      <c r="LZ12" s="24">
        <v>32217193</v>
      </c>
      <c r="MA12" s="24">
        <v>266</v>
      </c>
      <c r="MB12" s="24">
        <v>78007926</v>
      </c>
      <c r="MC12" s="24">
        <v>47972953</v>
      </c>
      <c r="MD12" s="24">
        <v>3468127</v>
      </c>
      <c r="ME12" s="38">
        <v>7.2300000000000003E-2</v>
      </c>
      <c r="MF12" s="24">
        <v>324</v>
      </c>
      <c r="MG12" s="24">
        <v>107910000</v>
      </c>
      <c r="MH12" s="24">
        <v>187</v>
      </c>
      <c r="MI12" s="24">
        <v>69083003</v>
      </c>
      <c r="MJ12" s="24">
        <v>411</v>
      </c>
      <c r="MK12" s="24">
        <v>121931469</v>
      </c>
      <c r="ML12" s="24">
        <v>47972953</v>
      </c>
      <c r="MM12" s="24">
        <v>7806608</v>
      </c>
      <c r="MN12" s="38">
        <v>0.16270000000000001</v>
      </c>
      <c r="MO12" s="24">
        <v>309</v>
      </c>
      <c r="MP12" s="24">
        <v>127890000</v>
      </c>
      <c r="MQ12" s="24">
        <v>214</v>
      </c>
      <c r="MR12" s="24">
        <v>80915308</v>
      </c>
      <c r="MS12" s="24">
        <v>506</v>
      </c>
      <c r="MT12" s="24">
        <v>168906161</v>
      </c>
      <c r="MU12" s="24">
        <v>147517749</v>
      </c>
      <c r="MV12" s="24">
        <v>12145091</v>
      </c>
      <c r="MW12" s="38">
        <v>8.2299999999999998E-2</v>
      </c>
      <c r="MX12" s="24">
        <v>277</v>
      </c>
      <c r="MY12" s="24">
        <v>117280000</v>
      </c>
      <c r="MZ12" s="24">
        <v>230</v>
      </c>
      <c r="NA12" s="24">
        <v>90374397</v>
      </c>
      <c r="NB12" s="24">
        <v>553</v>
      </c>
      <c r="NC12" s="24">
        <v>195811764</v>
      </c>
      <c r="ND12" s="24">
        <v>172611419</v>
      </c>
      <c r="NE12" s="24">
        <v>14787604</v>
      </c>
      <c r="NF12" s="38">
        <v>8.5699999999999998E-2</v>
      </c>
      <c r="NG12" s="24">
        <v>282</v>
      </c>
      <c r="NH12" s="24">
        <v>123370000</v>
      </c>
      <c r="NI12" s="24">
        <v>241</v>
      </c>
      <c r="NJ12" s="24">
        <v>106131308</v>
      </c>
      <c r="NK12" s="24">
        <v>594</v>
      </c>
      <c r="NL12" s="24">
        <v>213050456</v>
      </c>
      <c r="NM12" s="24">
        <v>207485498</v>
      </c>
      <c r="NN12" s="24">
        <v>17654821</v>
      </c>
      <c r="NO12" s="38">
        <v>8.5099999999999995E-2</v>
      </c>
      <c r="NP12" s="24">
        <v>257</v>
      </c>
      <c r="NQ12" s="24">
        <v>111700000</v>
      </c>
      <c r="NR12" s="24">
        <v>224</v>
      </c>
      <c r="NS12" s="24">
        <v>108773304</v>
      </c>
      <c r="NT12" s="24">
        <v>627</v>
      </c>
      <c r="NU12" s="24">
        <v>215977152</v>
      </c>
      <c r="NV12" s="24">
        <v>213532170</v>
      </c>
      <c r="NW12" s="24">
        <v>17901399</v>
      </c>
      <c r="NX12" s="38">
        <v>8.3799999999999999E-2</v>
      </c>
      <c r="NY12" s="24">
        <v>192</v>
      </c>
      <c r="NZ12" s="24">
        <v>94100000</v>
      </c>
      <c r="OA12" s="24">
        <v>243</v>
      </c>
      <c r="OB12" s="24">
        <v>116379355</v>
      </c>
      <c r="OC12" s="24">
        <v>576</v>
      </c>
      <c r="OD12" s="24">
        <v>193697797</v>
      </c>
      <c r="OE12" s="24">
        <v>205909494</v>
      </c>
      <c r="OF12" s="24">
        <v>17263488</v>
      </c>
      <c r="OG12" s="38">
        <v>8.3799999999999999E-2</v>
      </c>
      <c r="OH12" s="24">
        <v>183</v>
      </c>
      <c r="OI12" s="24">
        <v>81500000</v>
      </c>
      <c r="OJ12" s="24">
        <v>219</v>
      </c>
      <c r="OK12" s="24">
        <v>101485422</v>
      </c>
      <c r="OL12" s="24">
        <v>540</v>
      </c>
      <c r="OM12" s="24">
        <v>173712375</v>
      </c>
      <c r="ON12" s="24">
        <v>179442539</v>
      </c>
      <c r="OO12" s="24">
        <v>15003408</v>
      </c>
      <c r="OP12" s="38">
        <v>8.3599999999999994E-2</v>
      </c>
      <c r="OQ12" s="24">
        <v>161</v>
      </c>
      <c r="OR12" s="24">
        <v>72930000</v>
      </c>
      <c r="OS12" s="24">
        <v>230</v>
      </c>
      <c r="OT12" s="24">
        <v>96546082</v>
      </c>
      <c r="OU12" s="24">
        <v>471</v>
      </c>
      <c r="OV12" s="24">
        <v>150096293</v>
      </c>
      <c r="OW12" s="24">
        <v>159657942</v>
      </c>
      <c r="OX12" s="24">
        <v>13399377</v>
      </c>
      <c r="OY12" s="38">
        <v>8.3900000000000002E-2</v>
      </c>
    </row>
    <row r="13" spans="1:424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  <c r="K13" s="24"/>
      <c r="L13" s="24"/>
      <c r="M13" s="24"/>
      <c r="N13" s="24"/>
      <c r="O13" s="24"/>
      <c r="P13" s="24"/>
      <c r="Q13" s="24"/>
      <c r="R13" s="24"/>
      <c r="S13" s="38"/>
      <c r="T13" s="24"/>
      <c r="U13" s="24"/>
      <c r="V13" s="24"/>
      <c r="W13" s="24"/>
      <c r="X13" s="24"/>
      <c r="Y13" s="24"/>
      <c r="Z13" s="24"/>
      <c r="AA13" s="24"/>
      <c r="AB13" s="38"/>
      <c r="AC13" s="24"/>
      <c r="AD13" s="24"/>
      <c r="AE13" s="24"/>
      <c r="AF13" s="24"/>
      <c r="AG13" s="24"/>
      <c r="AH13" s="24"/>
      <c r="AI13" s="24"/>
      <c r="AJ13" s="24"/>
      <c r="AK13" s="38"/>
      <c r="AL13" s="24"/>
      <c r="AM13" s="24"/>
      <c r="AN13" s="24"/>
      <c r="AO13" s="24"/>
      <c r="AP13" s="24"/>
      <c r="AQ13" s="24"/>
      <c r="AR13" s="24"/>
      <c r="AS13" s="24"/>
      <c r="AT13" s="38"/>
      <c r="AU13" s="24"/>
      <c r="AV13" s="24"/>
      <c r="AW13" s="24"/>
      <c r="AX13" s="24"/>
      <c r="AY13" s="24"/>
      <c r="AZ13" s="24"/>
      <c r="BA13" s="24"/>
      <c r="BB13" s="24"/>
      <c r="BC13" s="38"/>
      <c r="BD13" s="24"/>
      <c r="BE13" s="24"/>
      <c r="BF13" s="24"/>
      <c r="BG13" s="24"/>
      <c r="BH13" s="24"/>
      <c r="BI13" s="24"/>
      <c r="BJ13" s="24"/>
      <c r="BK13" s="24"/>
      <c r="BL13" s="38"/>
      <c r="BM13" s="24"/>
      <c r="BN13" s="24"/>
      <c r="BO13" s="24"/>
      <c r="BP13" s="24"/>
      <c r="BQ13" s="24"/>
      <c r="BR13" s="24"/>
      <c r="BS13" s="24"/>
      <c r="BT13" s="24"/>
      <c r="BU13" s="38"/>
      <c r="BV13" s="24"/>
      <c r="BW13" s="24"/>
      <c r="BX13" s="24"/>
      <c r="BY13" s="24"/>
      <c r="BZ13" s="24"/>
      <c r="CA13" s="24"/>
      <c r="CB13" s="24"/>
      <c r="CC13" s="24"/>
      <c r="CD13" s="38"/>
      <c r="CE13" s="24"/>
      <c r="CF13" s="24"/>
      <c r="CG13" s="24"/>
      <c r="CH13" s="24"/>
      <c r="CI13" s="24"/>
      <c r="CJ13" s="24"/>
      <c r="CK13" s="24"/>
      <c r="CL13" s="24"/>
      <c r="CM13" s="38"/>
      <c r="CN13" s="24"/>
      <c r="CO13" s="24"/>
      <c r="CP13" s="24"/>
      <c r="CQ13" s="24"/>
      <c r="CR13" s="24"/>
      <c r="CS13" s="24"/>
      <c r="CT13" s="24"/>
      <c r="CU13" s="24"/>
      <c r="CV13" s="38"/>
      <c r="CW13" s="24"/>
      <c r="CX13" s="24"/>
      <c r="CY13" s="24"/>
      <c r="CZ13" s="24"/>
      <c r="DA13" s="24"/>
      <c r="DB13" s="24"/>
      <c r="DC13" s="24"/>
      <c r="DD13" s="24"/>
      <c r="DE13" s="38"/>
      <c r="DF13" s="24"/>
      <c r="DG13" s="24"/>
      <c r="DH13" s="24"/>
      <c r="DI13" s="24"/>
      <c r="DJ13" s="24"/>
      <c r="DK13" s="24"/>
      <c r="DL13" s="24"/>
      <c r="DM13" s="24"/>
      <c r="DN13" s="38"/>
      <c r="DO13" s="24"/>
      <c r="DP13" s="24"/>
      <c r="DQ13" s="24"/>
      <c r="DR13" s="24"/>
      <c r="DS13" s="24"/>
      <c r="DT13" s="24"/>
      <c r="DU13" s="24"/>
      <c r="DV13" s="24"/>
      <c r="DW13" s="38"/>
      <c r="DX13" s="24"/>
      <c r="DY13" s="24"/>
      <c r="DZ13" s="24"/>
      <c r="EA13" s="24"/>
      <c r="EB13" s="24"/>
      <c r="EC13" s="24"/>
      <c r="ED13" s="24"/>
      <c r="EE13" s="24"/>
      <c r="EF13" s="38"/>
      <c r="EG13" s="24"/>
      <c r="EH13" s="24"/>
      <c r="EI13" s="24"/>
      <c r="EJ13" s="24"/>
      <c r="EK13" s="24"/>
      <c r="EL13" s="24"/>
      <c r="EM13" s="24"/>
      <c r="EN13" s="24"/>
      <c r="EO13" s="38"/>
      <c r="EP13" s="24"/>
      <c r="EQ13" s="24"/>
      <c r="ER13" s="24"/>
      <c r="ES13" s="24"/>
      <c r="ET13" s="24"/>
      <c r="EU13" s="24"/>
      <c r="EV13" s="24"/>
      <c r="EW13" s="24"/>
      <c r="EX13" s="38"/>
      <c r="EY13" s="24"/>
      <c r="EZ13" s="24"/>
      <c r="FA13" s="24"/>
      <c r="FB13" s="24"/>
      <c r="FC13" s="24"/>
      <c r="FD13" s="24"/>
      <c r="FE13" s="24"/>
      <c r="FF13" s="24"/>
      <c r="FG13" s="38"/>
      <c r="FH13" s="24"/>
      <c r="FI13" s="24"/>
      <c r="FJ13" s="24"/>
      <c r="FK13" s="24"/>
      <c r="FL13" s="24"/>
      <c r="FM13" s="24"/>
      <c r="FN13" s="24"/>
      <c r="FO13" s="24"/>
      <c r="FP13" s="38"/>
      <c r="FQ13" s="24"/>
      <c r="FR13" s="24"/>
      <c r="FS13" s="24"/>
      <c r="FT13" s="24"/>
      <c r="FU13" s="24"/>
      <c r="FV13" s="24"/>
      <c r="FW13" s="24"/>
      <c r="FX13" s="24"/>
      <c r="FY13" s="38"/>
      <c r="FZ13" s="24"/>
      <c r="GA13" s="24"/>
      <c r="GB13" s="24"/>
      <c r="GC13" s="24"/>
      <c r="GD13" s="24"/>
      <c r="GE13" s="24"/>
      <c r="GF13" s="24"/>
      <c r="GG13" s="24"/>
      <c r="GH13" s="38"/>
      <c r="GI13" s="24"/>
      <c r="GJ13" s="24"/>
      <c r="GK13" s="24"/>
      <c r="GL13" s="24"/>
      <c r="GM13" s="24"/>
      <c r="GN13" s="24"/>
      <c r="GO13" s="24"/>
      <c r="GP13" s="24"/>
      <c r="GQ13" s="38"/>
      <c r="GR13" s="24"/>
      <c r="GS13" s="24"/>
      <c r="GT13" s="24"/>
      <c r="GU13" s="24"/>
      <c r="GV13" s="24"/>
      <c r="GW13" s="24"/>
      <c r="GX13" s="24"/>
      <c r="GY13" s="24"/>
      <c r="GZ13" s="38"/>
      <c r="HA13" s="24"/>
      <c r="HB13" s="24"/>
      <c r="HC13" s="24"/>
      <c r="HD13" s="24"/>
      <c r="HE13" s="24"/>
      <c r="HF13" s="24"/>
      <c r="HG13" s="24"/>
      <c r="HH13" s="24"/>
      <c r="HI13" s="38"/>
      <c r="HJ13" s="24"/>
      <c r="HK13" s="24"/>
      <c r="HL13" s="24"/>
      <c r="HM13" s="24"/>
      <c r="HN13" s="24"/>
      <c r="HO13" s="24"/>
      <c r="HP13" s="24"/>
      <c r="HQ13" s="24"/>
      <c r="HR13" s="38"/>
      <c r="HS13" s="24"/>
      <c r="HT13" s="24"/>
      <c r="HU13" s="24"/>
      <c r="HV13" s="24"/>
      <c r="HW13" s="24"/>
      <c r="HX13" s="24"/>
      <c r="HY13" s="24"/>
      <c r="HZ13" s="24"/>
      <c r="IA13" s="38"/>
      <c r="IB13" s="24"/>
      <c r="IC13" s="24"/>
      <c r="ID13" s="24"/>
      <c r="IE13" s="24"/>
      <c r="IF13" s="24"/>
      <c r="IG13" s="24"/>
      <c r="IH13" s="24"/>
      <c r="II13" s="24"/>
      <c r="IJ13" s="38"/>
      <c r="IK13" s="24"/>
      <c r="IL13" s="24"/>
      <c r="IM13" s="24"/>
      <c r="IN13" s="24"/>
      <c r="IO13" s="24"/>
      <c r="IP13" s="24"/>
      <c r="IQ13" s="24"/>
      <c r="IR13" s="24"/>
      <c r="IS13" s="38"/>
      <c r="IT13" s="24"/>
      <c r="IU13" s="24"/>
      <c r="IV13" s="24"/>
      <c r="IW13" s="24"/>
      <c r="IX13" s="24"/>
      <c r="IY13" s="24"/>
      <c r="IZ13" s="24"/>
      <c r="JA13" s="24"/>
      <c r="JB13" s="38"/>
      <c r="JC13" s="24"/>
      <c r="JD13" s="24"/>
      <c r="JE13" s="24"/>
      <c r="JF13" s="24"/>
      <c r="JG13" s="24"/>
      <c r="JH13" s="24"/>
      <c r="JI13" s="24"/>
      <c r="JJ13" s="24"/>
      <c r="JK13" s="38"/>
      <c r="JL13" s="24"/>
      <c r="JM13" s="24"/>
      <c r="JN13" s="24"/>
      <c r="JO13" s="24"/>
      <c r="JP13" s="24"/>
      <c r="JQ13" s="24"/>
      <c r="JR13" s="24"/>
      <c r="JS13" s="24"/>
      <c r="JT13" s="38"/>
      <c r="JU13" s="24"/>
      <c r="JV13" s="24"/>
      <c r="JW13" s="24"/>
      <c r="JX13" s="24"/>
      <c r="JY13" s="24"/>
      <c r="JZ13" s="24"/>
      <c r="KA13" s="24"/>
      <c r="KB13" s="24"/>
      <c r="KC13" s="38"/>
      <c r="KD13" s="24"/>
      <c r="KE13" s="24"/>
      <c r="KF13" s="24"/>
      <c r="KG13" s="24"/>
      <c r="KH13" s="24"/>
      <c r="KI13" s="24"/>
      <c r="KJ13" s="24"/>
      <c r="KK13" s="24"/>
      <c r="KL13" s="38"/>
      <c r="KM13" s="24"/>
      <c r="KN13" s="24"/>
      <c r="KO13" s="24"/>
      <c r="KP13" s="24"/>
      <c r="KQ13" s="24"/>
      <c r="KR13" s="24"/>
      <c r="KS13" s="24"/>
      <c r="KT13" s="24"/>
      <c r="KU13" s="38"/>
      <c r="KV13" s="24"/>
      <c r="KW13" s="24"/>
      <c r="KX13" s="24"/>
      <c r="KY13" s="24"/>
      <c r="KZ13" s="24"/>
      <c r="LA13" s="24"/>
      <c r="LB13" s="24"/>
      <c r="LC13" s="24"/>
      <c r="LD13" s="38"/>
      <c r="LE13" s="24"/>
      <c r="LF13" s="24"/>
      <c r="LG13" s="24"/>
      <c r="LH13" s="24"/>
      <c r="LI13" s="24"/>
      <c r="LJ13" s="24"/>
      <c r="LK13" s="24"/>
      <c r="LL13" s="24"/>
      <c r="LM13" s="38"/>
      <c r="LN13" s="24"/>
      <c r="LO13" s="24"/>
      <c r="LP13" s="24"/>
      <c r="LQ13" s="24"/>
      <c r="LR13" s="24"/>
      <c r="LS13" s="24"/>
      <c r="LT13" s="24"/>
      <c r="LU13" s="24"/>
      <c r="LV13" s="38"/>
      <c r="LW13" s="24">
        <v>30</v>
      </c>
      <c r="LX13" s="24">
        <v>13050000</v>
      </c>
      <c r="LY13" s="24">
        <v>6</v>
      </c>
      <c r="LZ13" s="24">
        <v>1583707</v>
      </c>
      <c r="MA13" s="24">
        <v>24</v>
      </c>
      <c r="MB13" s="24">
        <v>11466293</v>
      </c>
      <c r="MC13" s="24">
        <v>5107011</v>
      </c>
      <c r="MD13" s="24">
        <v>220611</v>
      </c>
      <c r="ME13" s="38">
        <v>4.3200000000000002E-2</v>
      </c>
      <c r="MF13" s="24">
        <v>59</v>
      </c>
      <c r="MG13" s="24">
        <v>33140000</v>
      </c>
      <c r="MH13" s="24">
        <v>2</v>
      </c>
      <c r="MI13" s="24">
        <v>2551390</v>
      </c>
      <c r="MJ13" s="24">
        <v>73</v>
      </c>
      <c r="MK13" s="24">
        <v>36958357</v>
      </c>
      <c r="ML13" s="24">
        <v>5107011</v>
      </c>
      <c r="MM13" s="24">
        <v>1242560</v>
      </c>
      <c r="MN13" s="38">
        <v>0.24329999999999999</v>
      </c>
      <c r="MO13" s="24">
        <v>103</v>
      </c>
      <c r="MP13" s="24">
        <v>60270000</v>
      </c>
      <c r="MQ13" s="24">
        <v>23</v>
      </c>
      <c r="MR13" s="24">
        <v>22535766</v>
      </c>
      <c r="MS13" s="24">
        <v>153</v>
      </c>
      <c r="MT13" s="24">
        <v>74692591</v>
      </c>
      <c r="MU13" s="24">
        <v>0</v>
      </c>
      <c r="MV13" s="24">
        <v>5093202</v>
      </c>
      <c r="MW13" s="38"/>
      <c r="MX13" s="24">
        <v>15</v>
      </c>
      <c r="MY13" s="24">
        <v>10750000</v>
      </c>
      <c r="MZ13" s="24">
        <v>36</v>
      </c>
      <c r="NA13" s="24">
        <v>26732300</v>
      </c>
      <c r="NB13" s="24">
        <v>132</v>
      </c>
      <c r="NC13" s="24">
        <v>58710291</v>
      </c>
      <c r="ND13" s="24"/>
      <c r="NE13" s="24">
        <v>5908080</v>
      </c>
      <c r="NF13" s="38"/>
      <c r="NG13" s="24">
        <v>34</v>
      </c>
      <c r="NH13" s="24">
        <v>22570000</v>
      </c>
      <c r="NI13" s="24">
        <v>29</v>
      </c>
      <c r="NJ13" s="24">
        <v>25417917</v>
      </c>
      <c r="NK13" s="24">
        <v>137</v>
      </c>
      <c r="NL13" s="24">
        <v>55862374</v>
      </c>
      <c r="NM13" s="24">
        <v>0</v>
      </c>
      <c r="NN13" s="24">
        <v>4886573</v>
      </c>
      <c r="NO13" s="38"/>
      <c r="NP13" s="24">
        <v>15</v>
      </c>
      <c r="NQ13" s="24">
        <v>10320000</v>
      </c>
      <c r="NR13" s="24">
        <v>34</v>
      </c>
      <c r="NS13" s="24">
        <v>23848329</v>
      </c>
      <c r="NT13" s="24">
        <v>118</v>
      </c>
      <c r="NU13" s="24">
        <v>42334045</v>
      </c>
      <c r="NV13" s="24">
        <v>0</v>
      </c>
      <c r="NW13" s="24">
        <v>4017899</v>
      </c>
      <c r="NX13" s="38"/>
      <c r="NY13" s="24">
        <v>2</v>
      </c>
      <c r="NZ13" s="24">
        <v>1200000</v>
      </c>
      <c r="OA13" s="24">
        <v>39</v>
      </c>
      <c r="OB13" s="24">
        <v>18325462</v>
      </c>
      <c r="OC13" s="24">
        <v>81</v>
      </c>
      <c r="OD13" s="24">
        <v>25208583</v>
      </c>
      <c r="OE13" s="24">
        <v>0</v>
      </c>
      <c r="OF13" s="24">
        <v>2774712</v>
      </c>
      <c r="OG13" s="38"/>
      <c r="OH13" s="24">
        <v>10</v>
      </c>
      <c r="OI13" s="24">
        <v>7640000</v>
      </c>
      <c r="OJ13" s="24">
        <v>37</v>
      </c>
      <c r="OK13" s="24">
        <v>13344034</v>
      </c>
      <c r="OL13" s="24">
        <v>54</v>
      </c>
      <c r="OM13" s="24">
        <v>19504549</v>
      </c>
      <c r="ON13" s="24">
        <v>21091310</v>
      </c>
      <c r="OO13" s="24">
        <v>1735586</v>
      </c>
      <c r="OP13" s="38">
        <v>8.2299999999999998E-2</v>
      </c>
      <c r="OQ13" s="24">
        <v>18</v>
      </c>
      <c r="OR13" s="24">
        <v>12900000</v>
      </c>
      <c r="OS13" s="24">
        <v>25</v>
      </c>
      <c r="OT13" s="24">
        <v>12576283</v>
      </c>
      <c r="OU13" s="24">
        <v>47</v>
      </c>
      <c r="OV13" s="24">
        <v>19828266</v>
      </c>
      <c r="OW13" s="24">
        <v>18983064</v>
      </c>
      <c r="OX13" s="24">
        <v>1545574</v>
      </c>
      <c r="OY13" s="38">
        <v>8.14E-2</v>
      </c>
    </row>
    <row r="14" spans="1:424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  <c r="K14" s="24"/>
      <c r="L14" s="24"/>
      <c r="M14" s="24"/>
      <c r="N14" s="24"/>
      <c r="O14" s="24"/>
      <c r="P14" s="24"/>
      <c r="Q14" s="24"/>
      <c r="R14" s="24"/>
      <c r="S14" s="38"/>
      <c r="T14" s="24"/>
      <c r="U14" s="24"/>
      <c r="V14" s="24"/>
      <c r="W14" s="24"/>
      <c r="X14" s="24"/>
      <c r="Y14" s="24"/>
      <c r="Z14" s="24"/>
      <c r="AA14" s="24"/>
      <c r="AB14" s="38"/>
      <c r="AC14" s="24"/>
      <c r="AD14" s="24"/>
      <c r="AE14" s="24"/>
      <c r="AF14" s="24"/>
      <c r="AG14" s="24"/>
      <c r="AH14" s="24"/>
      <c r="AI14" s="24"/>
      <c r="AJ14" s="24"/>
      <c r="AK14" s="38"/>
      <c r="AL14" s="24"/>
      <c r="AM14" s="24"/>
      <c r="AN14" s="24"/>
      <c r="AO14" s="24"/>
      <c r="AP14" s="24"/>
      <c r="AQ14" s="24"/>
      <c r="AR14" s="24"/>
      <c r="AS14" s="24"/>
      <c r="AT14" s="38"/>
      <c r="AU14" s="24"/>
      <c r="AV14" s="24"/>
      <c r="AW14" s="24"/>
      <c r="AX14" s="24"/>
      <c r="AY14" s="24"/>
      <c r="AZ14" s="24"/>
      <c r="BA14" s="24"/>
      <c r="BB14" s="24"/>
      <c r="BC14" s="38"/>
      <c r="BD14" s="24"/>
      <c r="BE14" s="24"/>
      <c r="BF14" s="24"/>
      <c r="BG14" s="24"/>
      <c r="BH14" s="24"/>
      <c r="BI14" s="24"/>
      <c r="BJ14" s="24"/>
      <c r="BK14" s="24"/>
      <c r="BL14" s="38"/>
      <c r="BM14" s="24"/>
      <c r="BN14" s="24"/>
      <c r="BO14" s="24"/>
      <c r="BP14" s="24"/>
      <c r="BQ14" s="24"/>
      <c r="BR14" s="24"/>
      <c r="BS14" s="24"/>
      <c r="BT14" s="24"/>
      <c r="BU14" s="38"/>
      <c r="BV14" s="24"/>
      <c r="BW14" s="24"/>
      <c r="BX14" s="24"/>
      <c r="BY14" s="24"/>
      <c r="BZ14" s="24"/>
      <c r="CA14" s="24"/>
      <c r="CB14" s="24"/>
      <c r="CC14" s="24"/>
      <c r="CD14" s="38"/>
      <c r="CE14" s="24"/>
      <c r="CF14" s="24"/>
      <c r="CG14" s="24"/>
      <c r="CH14" s="24"/>
      <c r="CI14" s="24"/>
      <c r="CJ14" s="24"/>
      <c r="CK14" s="24"/>
      <c r="CL14" s="24"/>
      <c r="CM14" s="38"/>
      <c r="CN14" s="24"/>
      <c r="CO14" s="24"/>
      <c r="CP14" s="24"/>
      <c r="CQ14" s="24"/>
      <c r="CR14" s="24"/>
      <c r="CS14" s="24"/>
      <c r="CT14" s="24"/>
      <c r="CU14" s="24"/>
      <c r="CV14" s="38"/>
      <c r="CW14" s="24"/>
      <c r="CX14" s="24"/>
      <c r="CY14" s="24"/>
      <c r="CZ14" s="24"/>
      <c r="DA14" s="24"/>
      <c r="DB14" s="24"/>
      <c r="DC14" s="24"/>
      <c r="DD14" s="24"/>
      <c r="DE14" s="38"/>
      <c r="DF14" s="24"/>
      <c r="DG14" s="24"/>
      <c r="DH14" s="24"/>
      <c r="DI14" s="24"/>
      <c r="DJ14" s="24"/>
      <c r="DK14" s="24"/>
      <c r="DL14" s="24"/>
      <c r="DM14" s="24"/>
      <c r="DN14" s="38"/>
      <c r="DO14" s="24"/>
      <c r="DP14" s="24"/>
      <c r="DQ14" s="24"/>
      <c r="DR14" s="24"/>
      <c r="DS14" s="24"/>
      <c r="DT14" s="24"/>
      <c r="DU14" s="24"/>
      <c r="DV14" s="24"/>
      <c r="DW14" s="38"/>
      <c r="DX14" s="24"/>
      <c r="DY14" s="24"/>
      <c r="DZ14" s="24"/>
      <c r="EA14" s="24"/>
      <c r="EB14" s="24"/>
      <c r="EC14" s="24"/>
      <c r="ED14" s="24"/>
      <c r="EE14" s="24"/>
      <c r="EF14" s="38"/>
      <c r="EG14" s="24"/>
      <c r="EH14" s="24"/>
      <c r="EI14" s="24"/>
      <c r="EJ14" s="24"/>
      <c r="EK14" s="24"/>
      <c r="EL14" s="24"/>
      <c r="EM14" s="24"/>
      <c r="EN14" s="24"/>
      <c r="EO14" s="38"/>
      <c r="EP14" s="24"/>
      <c r="EQ14" s="24"/>
      <c r="ER14" s="24"/>
      <c r="ES14" s="24"/>
      <c r="ET14" s="24"/>
      <c r="EU14" s="24"/>
      <c r="EV14" s="24"/>
      <c r="EW14" s="24"/>
      <c r="EX14" s="38"/>
      <c r="EY14" s="24"/>
      <c r="EZ14" s="24"/>
      <c r="FA14" s="24"/>
      <c r="FB14" s="24"/>
      <c r="FC14" s="24"/>
      <c r="FD14" s="24"/>
      <c r="FE14" s="24"/>
      <c r="FF14" s="24"/>
      <c r="FG14" s="38"/>
      <c r="FH14" s="24"/>
      <c r="FI14" s="24"/>
      <c r="FJ14" s="24"/>
      <c r="FK14" s="24"/>
      <c r="FL14" s="24"/>
      <c r="FM14" s="24"/>
      <c r="FN14" s="24"/>
      <c r="FO14" s="24"/>
      <c r="FP14" s="38"/>
      <c r="FQ14" s="24"/>
      <c r="FR14" s="24"/>
      <c r="FS14" s="24"/>
      <c r="FT14" s="24"/>
      <c r="FU14" s="24"/>
      <c r="FV14" s="24"/>
      <c r="FW14" s="24"/>
      <c r="FX14" s="24"/>
      <c r="FY14" s="38"/>
      <c r="FZ14" s="24"/>
      <c r="GA14" s="24"/>
      <c r="GB14" s="24"/>
      <c r="GC14" s="24"/>
      <c r="GD14" s="24"/>
      <c r="GE14" s="24"/>
      <c r="GF14" s="24"/>
      <c r="GG14" s="24"/>
      <c r="GH14" s="38"/>
      <c r="GI14" s="24"/>
      <c r="GJ14" s="24"/>
      <c r="GK14" s="24"/>
      <c r="GL14" s="24"/>
      <c r="GM14" s="24"/>
      <c r="GN14" s="24"/>
      <c r="GO14" s="24"/>
      <c r="GP14" s="24"/>
      <c r="GQ14" s="38"/>
      <c r="GR14" s="24"/>
      <c r="GS14" s="24"/>
      <c r="GT14" s="24"/>
      <c r="GU14" s="24"/>
      <c r="GV14" s="24"/>
      <c r="GW14" s="24"/>
      <c r="GX14" s="24"/>
      <c r="GY14" s="24"/>
      <c r="GZ14" s="38"/>
      <c r="HA14" s="24"/>
      <c r="HB14" s="24"/>
      <c r="HC14" s="24"/>
      <c r="HD14" s="24"/>
      <c r="HE14" s="24"/>
      <c r="HF14" s="24"/>
      <c r="HG14" s="24"/>
      <c r="HH14" s="24"/>
      <c r="HI14" s="38"/>
      <c r="HJ14" s="24"/>
      <c r="HK14" s="24"/>
      <c r="HL14" s="24"/>
      <c r="HM14" s="24"/>
      <c r="HN14" s="24"/>
      <c r="HO14" s="24"/>
      <c r="HP14" s="24"/>
      <c r="HQ14" s="24"/>
      <c r="HR14" s="38"/>
      <c r="HS14" s="24">
        <v>70</v>
      </c>
      <c r="HT14" s="24">
        <v>76240000</v>
      </c>
      <c r="HU14" s="24">
        <v>32</v>
      </c>
      <c r="HV14" s="24">
        <v>56631552</v>
      </c>
      <c r="HW14" s="24">
        <v>178</v>
      </c>
      <c r="HX14" s="24">
        <v>153294404</v>
      </c>
      <c r="HY14" s="24">
        <v>141067000</v>
      </c>
      <c r="HZ14" s="24">
        <v>14662961</v>
      </c>
      <c r="IA14" s="38">
        <v>0.10390000000000001</v>
      </c>
      <c r="IB14" s="24">
        <v>78</v>
      </c>
      <c r="IC14" s="24">
        <v>90910000</v>
      </c>
      <c r="ID14" s="24">
        <v>47</v>
      </c>
      <c r="IE14" s="24">
        <v>58211163</v>
      </c>
      <c r="IF14" s="24">
        <v>209</v>
      </c>
      <c r="IG14" s="24">
        <v>185993241</v>
      </c>
      <c r="IH14" s="24">
        <v>164820993</v>
      </c>
      <c r="II14" s="24">
        <v>17027348</v>
      </c>
      <c r="IJ14" s="38">
        <v>0.1033</v>
      </c>
      <c r="IK14" s="24">
        <v>79</v>
      </c>
      <c r="IL14" s="24">
        <v>97678000</v>
      </c>
      <c r="IM14" s="24">
        <v>52</v>
      </c>
      <c r="IN14" s="24">
        <v>91906187</v>
      </c>
      <c r="IO14" s="24">
        <v>236</v>
      </c>
      <c r="IP14" s="24">
        <v>191765054</v>
      </c>
      <c r="IQ14" s="24">
        <v>195948389</v>
      </c>
      <c r="IR14" s="24">
        <v>20606097</v>
      </c>
      <c r="IS14" s="38">
        <v>0.1052</v>
      </c>
      <c r="IT14" s="24">
        <v>60</v>
      </c>
      <c r="IU14" s="24">
        <v>58525000</v>
      </c>
      <c r="IV14" s="24">
        <v>81</v>
      </c>
      <c r="IW14" s="24">
        <v>85000580</v>
      </c>
      <c r="IX14" s="24">
        <v>215</v>
      </c>
      <c r="IY14" s="24">
        <v>165289474</v>
      </c>
      <c r="IZ14" s="24">
        <v>179507152</v>
      </c>
      <c r="JA14" s="24">
        <v>19315374</v>
      </c>
      <c r="JB14" s="38">
        <v>0.1076</v>
      </c>
      <c r="JC14" s="24">
        <v>45</v>
      </c>
      <c r="JD14" s="24">
        <v>51285000</v>
      </c>
      <c r="JE14" s="24">
        <v>73</v>
      </c>
      <c r="JF14" s="24">
        <v>74886461</v>
      </c>
      <c r="JG14" s="24">
        <v>187</v>
      </c>
      <c r="JH14" s="24">
        <v>141688013</v>
      </c>
      <c r="JI14" s="24">
        <v>155496949</v>
      </c>
      <c r="JJ14" s="24">
        <v>16534746</v>
      </c>
      <c r="JK14" s="38">
        <v>0.10630000000000001</v>
      </c>
      <c r="JL14" s="24">
        <v>47</v>
      </c>
      <c r="JM14" s="24">
        <v>45180000</v>
      </c>
      <c r="JN14" s="24">
        <v>60</v>
      </c>
      <c r="JO14" s="24">
        <v>65051756</v>
      </c>
      <c r="JP14" s="24">
        <v>174</v>
      </c>
      <c r="JQ14" s="24">
        <v>121816257</v>
      </c>
      <c r="JR14" s="24">
        <v>129087105</v>
      </c>
      <c r="JS14" s="24">
        <v>13605656</v>
      </c>
      <c r="JT14" s="38">
        <v>0.10539999999999999</v>
      </c>
      <c r="JU14" s="24">
        <v>53</v>
      </c>
      <c r="JV14" s="24">
        <v>52280000</v>
      </c>
      <c r="JW14" s="24">
        <v>56</v>
      </c>
      <c r="JX14" s="24">
        <v>58024598</v>
      </c>
      <c r="JY14" s="24">
        <v>171</v>
      </c>
      <c r="JZ14" s="24">
        <v>116071659</v>
      </c>
      <c r="KA14" s="24">
        <v>117209703</v>
      </c>
      <c r="KB14" s="24">
        <v>12093845</v>
      </c>
      <c r="KC14" s="38">
        <v>0.1032</v>
      </c>
      <c r="KD14" s="24">
        <v>45</v>
      </c>
      <c r="KE14" s="24">
        <v>45520000</v>
      </c>
      <c r="KF14" s="24">
        <v>52</v>
      </c>
      <c r="KG14" s="24">
        <v>50348890</v>
      </c>
      <c r="KH14" s="24">
        <v>164</v>
      </c>
      <c r="KI14" s="24">
        <v>111242769</v>
      </c>
      <c r="KJ14" s="24">
        <v>111911514</v>
      </c>
      <c r="KK14" s="24">
        <v>11436603</v>
      </c>
      <c r="KL14" s="38">
        <v>0.1022</v>
      </c>
      <c r="KM14" s="24">
        <v>47</v>
      </c>
      <c r="KN14" s="24">
        <v>37580000</v>
      </c>
      <c r="KO14" s="24">
        <v>46</v>
      </c>
      <c r="KP14" s="24">
        <v>47752066</v>
      </c>
      <c r="KQ14" s="24">
        <v>165</v>
      </c>
      <c r="KR14" s="24">
        <v>101070703</v>
      </c>
      <c r="KS14" s="24">
        <v>108477383</v>
      </c>
      <c r="KT14" s="24">
        <v>11212155</v>
      </c>
      <c r="KU14" s="38">
        <v>0.10340000000000001</v>
      </c>
      <c r="KV14" s="24">
        <v>2</v>
      </c>
      <c r="KW14" s="24">
        <v>1160000</v>
      </c>
      <c r="KX14" s="24">
        <v>67</v>
      </c>
      <c r="KY14" s="24">
        <v>42600243</v>
      </c>
      <c r="KZ14" s="24">
        <v>100</v>
      </c>
      <c r="LA14" s="24">
        <v>59630460</v>
      </c>
      <c r="LB14" s="24">
        <v>78765142</v>
      </c>
      <c r="LC14" s="24">
        <v>8168472</v>
      </c>
      <c r="LD14" s="38">
        <v>0.1037</v>
      </c>
      <c r="LE14" s="24">
        <v>0</v>
      </c>
      <c r="LF14" s="24">
        <v>0</v>
      </c>
      <c r="LG14" s="24">
        <v>37</v>
      </c>
      <c r="LH14" s="24">
        <v>28259746</v>
      </c>
      <c r="LI14" s="24">
        <v>63</v>
      </c>
      <c r="LJ14" s="24">
        <v>31370714</v>
      </c>
      <c r="LK14" s="24">
        <v>43296334</v>
      </c>
      <c r="LL14" s="24">
        <v>4401113</v>
      </c>
      <c r="LM14" s="38">
        <v>0.1017</v>
      </c>
      <c r="LN14" s="24">
        <v>0</v>
      </c>
      <c r="LO14" s="24">
        <v>0</v>
      </c>
      <c r="LP14" s="24">
        <v>30</v>
      </c>
      <c r="LQ14" s="24">
        <v>12995463</v>
      </c>
      <c r="LR14" s="24">
        <v>33</v>
      </c>
      <c r="LS14" s="24">
        <v>18375251</v>
      </c>
      <c r="LT14" s="24">
        <v>24006157</v>
      </c>
      <c r="LU14" s="24">
        <v>2265008</v>
      </c>
      <c r="LV14" s="38">
        <v>9.4399999999999998E-2</v>
      </c>
      <c r="LW14" s="24"/>
      <c r="LX14" s="24"/>
      <c r="LY14" s="24">
        <v>12</v>
      </c>
      <c r="LZ14" s="24">
        <v>9686866</v>
      </c>
      <c r="MA14" s="24">
        <v>21</v>
      </c>
      <c r="MB14" s="24">
        <v>8688385</v>
      </c>
      <c r="MC14" s="24">
        <v>13019382</v>
      </c>
      <c r="MD14" s="24">
        <v>1164588</v>
      </c>
      <c r="ME14" s="38">
        <v>8.9499999999999996E-2</v>
      </c>
      <c r="MF14" s="24"/>
      <c r="MG14" s="24"/>
      <c r="MH14" s="24">
        <v>7</v>
      </c>
      <c r="MI14" s="24">
        <v>3822938</v>
      </c>
      <c r="MJ14" s="24">
        <v>14</v>
      </c>
      <c r="MK14" s="24">
        <v>4865447</v>
      </c>
      <c r="ML14" s="24">
        <v>6642520</v>
      </c>
      <c r="MM14" s="24">
        <v>625449</v>
      </c>
      <c r="MN14" s="38">
        <v>9.4200000000000006E-2</v>
      </c>
      <c r="MO14" s="24"/>
      <c r="MP14" s="24"/>
      <c r="MQ14" s="24">
        <v>6</v>
      </c>
      <c r="MR14" s="24">
        <v>2341322</v>
      </c>
      <c r="MS14" s="24">
        <v>8</v>
      </c>
      <c r="MT14" s="24">
        <v>2524125</v>
      </c>
      <c r="MU14" s="24">
        <v>3547519</v>
      </c>
      <c r="MV14" s="24">
        <v>298203</v>
      </c>
      <c r="MW14" s="38">
        <v>8.4099999999999994E-2</v>
      </c>
      <c r="MX14" s="24"/>
      <c r="MY14" s="24"/>
      <c r="MZ14" s="24">
        <v>1</v>
      </c>
      <c r="NA14" s="24">
        <v>1076058</v>
      </c>
      <c r="NB14" s="24">
        <v>7</v>
      </c>
      <c r="NC14" s="24">
        <v>1448067</v>
      </c>
      <c r="ND14" s="24">
        <v>1889408</v>
      </c>
      <c r="NE14" s="24">
        <v>156721</v>
      </c>
      <c r="NF14" s="38">
        <v>8.2900000000000001E-2</v>
      </c>
      <c r="NG14" s="24"/>
      <c r="NH14" s="24"/>
      <c r="NI14" s="24">
        <v>1</v>
      </c>
      <c r="NJ14" s="24">
        <v>806725</v>
      </c>
      <c r="NK14" s="24">
        <v>6</v>
      </c>
      <c r="NL14" s="24">
        <v>641342</v>
      </c>
      <c r="NM14" s="24">
        <v>992781</v>
      </c>
      <c r="NN14" s="24">
        <v>71230</v>
      </c>
      <c r="NO14" s="38">
        <v>7.17E-2</v>
      </c>
      <c r="NP14" s="24"/>
      <c r="NQ14" s="24"/>
      <c r="NR14" s="24">
        <v>4</v>
      </c>
      <c r="NS14" s="24">
        <v>521003</v>
      </c>
      <c r="NT14" s="24">
        <v>2</v>
      </c>
      <c r="NU14" s="24">
        <v>120339</v>
      </c>
      <c r="NV14" s="24">
        <v>290191</v>
      </c>
      <c r="NW14" s="24">
        <v>23793</v>
      </c>
      <c r="NX14" s="38">
        <v>8.2000000000000003E-2</v>
      </c>
      <c r="NY14" s="24"/>
      <c r="NZ14" s="24"/>
      <c r="OA14" s="24">
        <v>2</v>
      </c>
      <c r="OB14" s="24">
        <v>120339</v>
      </c>
      <c r="OC14" s="24"/>
      <c r="OD14" s="24"/>
      <c r="OE14" s="24">
        <v>32369</v>
      </c>
      <c r="OF14" s="24">
        <v>2879</v>
      </c>
      <c r="OG14" s="38">
        <v>8.8900000000000007E-2</v>
      </c>
      <c r="OH14" s="24"/>
      <c r="OI14" s="24"/>
      <c r="OJ14" s="24"/>
      <c r="OK14" s="24"/>
      <c r="OL14" s="24"/>
      <c r="OM14" s="24"/>
      <c r="ON14" s="24"/>
      <c r="OO14" s="24"/>
      <c r="OP14" s="38"/>
      <c r="OQ14" s="24"/>
      <c r="OR14" s="24"/>
      <c r="OS14" s="24"/>
      <c r="OT14" s="24"/>
      <c r="OU14" s="24"/>
      <c r="OV14" s="24"/>
      <c r="OW14" s="24"/>
      <c r="OX14" s="24"/>
      <c r="OY14" s="38"/>
    </row>
    <row r="15" spans="1:424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  <c r="K15" s="24"/>
      <c r="L15" s="24"/>
      <c r="M15" s="24"/>
      <c r="N15" s="24"/>
      <c r="O15" s="24"/>
      <c r="P15" s="24"/>
      <c r="Q15" s="24"/>
      <c r="R15" s="24"/>
      <c r="S15" s="38"/>
      <c r="T15" s="24"/>
      <c r="U15" s="24"/>
      <c r="V15" s="24"/>
      <c r="W15" s="24"/>
      <c r="X15" s="24"/>
      <c r="Y15" s="24"/>
      <c r="Z15" s="24"/>
      <c r="AA15" s="24"/>
      <c r="AB15" s="38"/>
      <c r="AC15" s="24"/>
      <c r="AD15" s="24"/>
      <c r="AE15" s="24"/>
      <c r="AF15" s="24"/>
      <c r="AG15" s="24"/>
      <c r="AH15" s="24"/>
      <c r="AI15" s="24"/>
      <c r="AJ15" s="24"/>
      <c r="AK15" s="38"/>
      <c r="AL15" s="24"/>
      <c r="AM15" s="24"/>
      <c r="AN15" s="24"/>
      <c r="AO15" s="24"/>
      <c r="AP15" s="24"/>
      <c r="AQ15" s="24"/>
      <c r="AR15" s="24"/>
      <c r="AS15" s="24"/>
      <c r="AT15" s="38"/>
      <c r="AU15" s="24"/>
      <c r="AV15" s="24"/>
      <c r="AW15" s="24"/>
      <c r="AX15" s="24"/>
      <c r="AY15" s="24"/>
      <c r="AZ15" s="24"/>
      <c r="BA15" s="24"/>
      <c r="BB15" s="24"/>
      <c r="BC15" s="38"/>
      <c r="BD15" s="24"/>
      <c r="BE15" s="24"/>
      <c r="BF15" s="24"/>
      <c r="BG15" s="24"/>
      <c r="BH15" s="24"/>
      <c r="BI15" s="24"/>
      <c r="BJ15" s="24"/>
      <c r="BK15" s="24"/>
      <c r="BL15" s="38"/>
      <c r="BM15" s="24"/>
      <c r="BN15" s="24"/>
      <c r="BO15" s="24"/>
      <c r="BP15" s="24"/>
      <c r="BQ15" s="24"/>
      <c r="BR15" s="24"/>
      <c r="BS15" s="24"/>
      <c r="BT15" s="24"/>
      <c r="BU15" s="38"/>
      <c r="BV15" s="24"/>
      <c r="BW15" s="24"/>
      <c r="BX15" s="24"/>
      <c r="BY15" s="24"/>
      <c r="BZ15" s="24"/>
      <c r="CA15" s="24"/>
      <c r="CB15" s="24"/>
      <c r="CC15" s="24"/>
      <c r="CD15" s="38"/>
      <c r="CE15" s="24"/>
      <c r="CF15" s="24"/>
      <c r="CG15" s="24"/>
      <c r="CH15" s="24"/>
      <c r="CI15" s="24"/>
      <c r="CJ15" s="24"/>
      <c r="CK15" s="24"/>
      <c r="CL15" s="24"/>
      <c r="CM15" s="38"/>
      <c r="CN15" s="24"/>
      <c r="CO15" s="24"/>
      <c r="CP15" s="24"/>
      <c r="CQ15" s="24"/>
      <c r="CR15" s="24"/>
      <c r="CS15" s="24"/>
      <c r="CT15" s="24"/>
      <c r="CU15" s="24"/>
      <c r="CV15" s="38"/>
      <c r="CW15" s="24"/>
      <c r="CX15" s="24"/>
      <c r="CY15" s="24"/>
      <c r="CZ15" s="24"/>
      <c r="DA15" s="24"/>
      <c r="DB15" s="24"/>
      <c r="DC15" s="24"/>
      <c r="DD15" s="24"/>
      <c r="DE15" s="38"/>
      <c r="DF15" s="24"/>
      <c r="DG15" s="24"/>
      <c r="DH15" s="24"/>
      <c r="DI15" s="24"/>
      <c r="DJ15" s="24"/>
      <c r="DK15" s="24"/>
      <c r="DL15" s="24"/>
      <c r="DM15" s="24"/>
      <c r="DN15" s="38"/>
      <c r="DO15" s="24"/>
      <c r="DP15" s="24"/>
      <c r="DQ15" s="24"/>
      <c r="DR15" s="24"/>
      <c r="DS15" s="24"/>
      <c r="DT15" s="24"/>
      <c r="DU15" s="24"/>
      <c r="DV15" s="24"/>
      <c r="DW15" s="38"/>
      <c r="DX15" s="24"/>
      <c r="DY15" s="24"/>
      <c r="DZ15" s="24"/>
      <c r="EA15" s="24"/>
      <c r="EB15" s="24"/>
      <c r="EC15" s="24"/>
      <c r="ED15" s="24"/>
      <c r="EE15" s="24"/>
      <c r="EF15" s="38"/>
      <c r="EG15" s="24"/>
      <c r="EH15" s="24"/>
      <c r="EI15" s="24"/>
      <c r="EJ15" s="24"/>
      <c r="EK15" s="24"/>
      <c r="EL15" s="24"/>
      <c r="EM15" s="24"/>
      <c r="EN15" s="24"/>
      <c r="EO15" s="38"/>
      <c r="EP15" s="24"/>
      <c r="EQ15" s="24"/>
      <c r="ER15" s="24"/>
      <c r="ES15" s="24"/>
      <c r="ET15" s="24"/>
      <c r="EU15" s="24"/>
      <c r="EV15" s="24"/>
      <c r="EW15" s="24"/>
      <c r="EX15" s="38"/>
      <c r="EY15" s="24"/>
      <c r="EZ15" s="24"/>
      <c r="FA15" s="24"/>
      <c r="FB15" s="24"/>
      <c r="FC15" s="24"/>
      <c r="FD15" s="24"/>
      <c r="FE15" s="24"/>
      <c r="FF15" s="24"/>
      <c r="FG15" s="38"/>
      <c r="FH15" s="24"/>
      <c r="FI15" s="24"/>
      <c r="FJ15" s="24"/>
      <c r="FK15" s="24"/>
      <c r="FL15" s="24"/>
      <c r="FM15" s="24"/>
      <c r="FN15" s="24"/>
      <c r="FO15" s="24"/>
      <c r="FP15" s="38"/>
      <c r="FQ15" s="24"/>
      <c r="FR15" s="24"/>
      <c r="FS15" s="24"/>
      <c r="FT15" s="24"/>
      <c r="FU15" s="24"/>
      <c r="FV15" s="24"/>
      <c r="FW15" s="24"/>
      <c r="FX15" s="24"/>
      <c r="FY15" s="38"/>
      <c r="FZ15" s="24"/>
      <c r="GA15" s="24"/>
      <c r="GB15" s="24"/>
      <c r="GC15" s="24"/>
      <c r="GD15" s="24"/>
      <c r="GE15" s="24"/>
      <c r="GF15" s="24"/>
      <c r="GG15" s="24"/>
      <c r="GH15" s="38"/>
      <c r="GI15" s="24"/>
      <c r="GJ15" s="24"/>
      <c r="GK15" s="24"/>
      <c r="GL15" s="24"/>
      <c r="GM15" s="24"/>
      <c r="GN15" s="24"/>
      <c r="GO15" s="24"/>
      <c r="GP15" s="24"/>
      <c r="GQ15" s="38"/>
      <c r="GR15" s="24"/>
      <c r="GS15" s="24"/>
      <c r="GT15" s="24"/>
      <c r="GU15" s="24"/>
      <c r="GV15" s="24"/>
      <c r="GW15" s="24"/>
      <c r="GX15" s="24"/>
      <c r="GY15" s="24"/>
      <c r="GZ15" s="38"/>
      <c r="HA15" s="24"/>
      <c r="HB15" s="24"/>
      <c r="HC15" s="24"/>
      <c r="HD15" s="24"/>
      <c r="HE15" s="24"/>
      <c r="HF15" s="24"/>
      <c r="HG15" s="24"/>
      <c r="HH15" s="24"/>
      <c r="HI15" s="38"/>
      <c r="HJ15" s="24"/>
      <c r="HK15" s="24"/>
      <c r="HL15" s="24"/>
      <c r="HM15" s="24"/>
      <c r="HN15" s="24"/>
      <c r="HO15" s="24"/>
      <c r="HP15" s="24"/>
      <c r="HQ15" s="24"/>
      <c r="HR15" s="38"/>
      <c r="HS15" s="24">
        <v>19</v>
      </c>
      <c r="HT15" s="24">
        <v>14800000</v>
      </c>
      <c r="HU15" s="24">
        <v>16</v>
      </c>
      <c r="HV15" s="24">
        <v>13976517</v>
      </c>
      <c r="HW15" s="24">
        <v>55</v>
      </c>
      <c r="HX15" s="24">
        <v>39653108</v>
      </c>
      <c r="HY15" s="24">
        <v>37835646</v>
      </c>
      <c r="HZ15" s="24">
        <v>3979978</v>
      </c>
      <c r="IA15" s="38">
        <v>0.1052</v>
      </c>
      <c r="IB15" s="24">
        <v>13</v>
      </c>
      <c r="IC15" s="24">
        <v>11040000</v>
      </c>
      <c r="ID15" s="24">
        <v>23</v>
      </c>
      <c r="IE15" s="24">
        <v>15802894</v>
      </c>
      <c r="IF15" s="24">
        <v>45</v>
      </c>
      <c r="IG15" s="24">
        <v>34890214</v>
      </c>
      <c r="IH15" s="24">
        <v>35957881</v>
      </c>
      <c r="II15" s="24">
        <v>3803811</v>
      </c>
      <c r="IJ15" s="38">
        <v>0.10580000000000001</v>
      </c>
      <c r="IK15" s="24">
        <v>15</v>
      </c>
      <c r="IL15" s="24">
        <v>12510000</v>
      </c>
      <c r="IM15" s="24">
        <v>14</v>
      </c>
      <c r="IN15" s="24">
        <v>11845444</v>
      </c>
      <c r="IO15" s="24">
        <v>46</v>
      </c>
      <c r="IP15" s="24">
        <v>35554770</v>
      </c>
      <c r="IQ15" s="24">
        <v>35770661</v>
      </c>
      <c r="IR15" s="24">
        <v>3719755</v>
      </c>
      <c r="IS15" s="38">
        <v>0.105</v>
      </c>
      <c r="IT15" s="24">
        <v>17</v>
      </c>
      <c r="IU15" s="24">
        <v>10860000</v>
      </c>
      <c r="IV15" s="24">
        <v>14</v>
      </c>
      <c r="IW15" s="24">
        <v>15227291</v>
      </c>
      <c r="IX15" s="24">
        <v>49</v>
      </c>
      <c r="IY15" s="24">
        <v>31187479</v>
      </c>
      <c r="IZ15" s="24">
        <v>31684513</v>
      </c>
      <c r="JA15" s="24">
        <v>3360540</v>
      </c>
      <c r="JB15" s="38">
        <v>0.1061</v>
      </c>
      <c r="JC15" s="24">
        <v>10</v>
      </c>
      <c r="JD15" s="24">
        <v>8150000</v>
      </c>
      <c r="JE15" s="24">
        <v>19</v>
      </c>
      <c r="JF15" s="24">
        <v>14847668</v>
      </c>
      <c r="JG15" s="24">
        <v>40</v>
      </c>
      <c r="JH15" s="24">
        <v>24489811</v>
      </c>
      <c r="JI15" s="24">
        <v>27042919</v>
      </c>
      <c r="JJ15" s="24">
        <v>2827887</v>
      </c>
      <c r="JK15" s="38">
        <v>0.1046</v>
      </c>
      <c r="JL15" s="24">
        <v>16</v>
      </c>
      <c r="JM15" s="24">
        <v>13890000</v>
      </c>
      <c r="JN15" s="24">
        <v>20</v>
      </c>
      <c r="JO15" s="24">
        <v>12740893</v>
      </c>
      <c r="JP15" s="24">
        <v>36</v>
      </c>
      <c r="JQ15" s="24">
        <v>25638918</v>
      </c>
      <c r="JR15" s="24">
        <v>25926413</v>
      </c>
      <c r="JS15" s="24">
        <v>2677741</v>
      </c>
      <c r="JT15" s="38">
        <v>0.1033</v>
      </c>
      <c r="JU15" s="24">
        <v>16</v>
      </c>
      <c r="JV15" s="24">
        <v>11128000</v>
      </c>
      <c r="JW15" s="24">
        <v>10</v>
      </c>
      <c r="JX15" s="24">
        <v>9561394</v>
      </c>
      <c r="JY15" s="24">
        <v>42</v>
      </c>
      <c r="JZ15" s="24">
        <v>27205524</v>
      </c>
      <c r="KA15" s="24">
        <v>27253045</v>
      </c>
      <c r="KB15" s="24">
        <v>2826936</v>
      </c>
      <c r="KC15" s="38">
        <v>0.1037</v>
      </c>
      <c r="KD15" s="24">
        <v>17</v>
      </c>
      <c r="KE15" s="24">
        <v>7840000</v>
      </c>
      <c r="KF15" s="24">
        <v>20</v>
      </c>
      <c r="KG15" s="24">
        <v>11495077</v>
      </c>
      <c r="KH15" s="24">
        <v>39</v>
      </c>
      <c r="KI15" s="24">
        <v>23550447</v>
      </c>
      <c r="KJ15" s="24">
        <v>27395449</v>
      </c>
      <c r="KK15" s="24">
        <v>2905973</v>
      </c>
      <c r="KL15" s="38">
        <v>0.1061</v>
      </c>
      <c r="KM15" s="24">
        <v>11</v>
      </c>
      <c r="KN15" s="24">
        <v>9440000</v>
      </c>
      <c r="KO15" s="24">
        <v>9</v>
      </c>
      <c r="KP15" s="24">
        <v>8625511</v>
      </c>
      <c r="KQ15" s="24">
        <v>41</v>
      </c>
      <c r="KR15" s="24">
        <v>24364936</v>
      </c>
      <c r="KS15" s="24">
        <v>23572874</v>
      </c>
      <c r="KT15" s="24">
        <v>2407951</v>
      </c>
      <c r="KU15" s="38">
        <v>0.1021</v>
      </c>
      <c r="KV15" s="24"/>
      <c r="KW15" s="24">
        <v>0</v>
      </c>
      <c r="KX15" s="24">
        <v>17</v>
      </c>
      <c r="KY15" s="24">
        <v>8268303</v>
      </c>
      <c r="KZ15" s="24">
        <v>24</v>
      </c>
      <c r="LA15" s="24">
        <v>16096633</v>
      </c>
      <c r="LB15" s="24">
        <v>18555512</v>
      </c>
      <c r="LC15" s="24">
        <v>2118890</v>
      </c>
      <c r="LD15" s="38">
        <v>0.1142</v>
      </c>
      <c r="LE15" s="24">
        <v>0</v>
      </c>
      <c r="LF15" s="24">
        <v>0</v>
      </c>
      <c r="LG15" s="24">
        <v>7</v>
      </c>
      <c r="LH15" s="24">
        <v>5648310</v>
      </c>
      <c r="LI15" s="24">
        <v>17</v>
      </c>
      <c r="LJ15" s="24">
        <v>10448323</v>
      </c>
      <c r="LK15" s="24">
        <v>13531276</v>
      </c>
      <c r="LL15" s="24">
        <v>1472329</v>
      </c>
      <c r="LM15" s="38">
        <v>0.10879999999999999</v>
      </c>
      <c r="LN15" s="24"/>
      <c r="LO15" s="24"/>
      <c r="LP15" s="24">
        <v>3</v>
      </c>
      <c r="LQ15" s="24">
        <v>3593458</v>
      </c>
      <c r="LR15" s="24">
        <v>14</v>
      </c>
      <c r="LS15" s="24">
        <v>6854865</v>
      </c>
      <c r="LT15" s="24">
        <v>8481193</v>
      </c>
      <c r="LU15" s="24">
        <v>923263</v>
      </c>
      <c r="LV15" s="38">
        <v>0.1089</v>
      </c>
      <c r="LW15" s="24"/>
      <c r="LX15" s="24"/>
      <c r="LY15" s="24">
        <v>6</v>
      </c>
      <c r="LZ15" s="24">
        <v>2054743</v>
      </c>
      <c r="MA15" s="24">
        <v>8</v>
      </c>
      <c r="MB15" s="24">
        <v>4800122</v>
      </c>
      <c r="MC15" s="24">
        <v>5575551</v>
      </c>
      <c r="MD15" s="24">
        <v>545134</v>
      </c>
      <c r="ME15" s="38">
        <v>9.7799999999999998E-2</v>
      </c>
      <c r="MF15" s="24"/>
      <c r="MG15" s="24"/>
      <c r="MH15" s="24">
        <v>6</v>
      </c>
      <c r="MI15" s="24">
        <v>3476807</v>
      </c>
      <c r="MJ15" s="24">
        <v>2</v>
      </c>
      <c r="MK15" s="24">
        <v>1323315</v>
      </c>
      <c r="ML15" s="24">
        <v>2550528</v>
      </c>
      <c r="MM15" s="24">
        <v>218456</v>
      </c>
      <c r="MN15" s="38">
        <v>8.5699999999999998E-2</v>
      </c>
      <c r="MO15" s="24"/>
      <c r="MP15" s="24"/>
      <c r="MQ15" s="24"/>
      <c r="MR15" s="24">
        <v>205259</v>
      </c>
      <c r="MS15" s="24">
        <v>2</v>
      </c>
      <c r="MT15" s="24">
        <v>1118056</v>
      </c>
      <c r="MU15" s="24">
        <v>1213925</v>
      </c>
      <c r="MV15" s="24">
        <v>38281</v>
      </c>
      <c r="MW15" s="38">
        <v>3.15E-2</v>
      </c>
      <c r="MX15" s="24"/>
      <c r="MY15" s="24"/>
      <c r="MZ15" s="24"/>
      <c r="NA15" s="24">
        <v>228743</v>
      </c>
      <c r="NB15" s="24">
        <v>2</v>
      </c>
      <c r="NC15" s="24">
        <v>889313</v>
      </c>
      <c r="ND15" s="24">
        <v>996278</v>
      </c>
      <c r="NE15" s="24">
        <v>65018</v>
      </c>
      <c r="NF15" s="38">
        <v>6.5299999999999997E-2</v>
      </c>
      <c r="NG15" s="24"/>
      <c r="NH15" s="24"/>
      <c r="NI15" s="24">
        <v>1</v>
      </c>
      <c r="NJ15" s="24">
        <v>29504</v>
      </c>
      <c r="NK15" s="24">
        <v>1</v>
      </c>
      <c r="NL15" s="24">
        <v>859809</v>
      </c>
      <c r="NM15" s="24">
        <v>867687</v>
      </c>
      <c r="NN15" s="24">
        <v>79608</v>
      </c>
      <c r="NO15" s="38">
        <v>9.1700000000000004E-2</v>
      </c>
      <c r="NP15" s="24"/>
      <c r="NQ15" s="24"/>
      <c r="NR15" s="24">
        <v>0</v>
      </c>
      <c r="NS15" s="24">
        <v>78807</v>
      </c>
      <c r="NT15" s="24">
        <v>1</v>
      </c>
      <c r="NU15" s="24">
        <v>781002</v>
      </c>
      <c r="NV15" s="24">
        <v>817447</v>
      </c>
      <c r="NW15" s="24">
        <v>41193</v>
      </c>
      <c r="NX15" s="38">
        <v>5.04E-2</v>
      </c>
      <c r="NY15" s="24"/>
      <c r="NZ15" s="24"/>
      <c r="OA15" s="24"/>
      <c r="OB15" s="24">
        <v>82838</v>
      </c>
      <c r="OC15" s="24">
        <v>1</v>
      </c>
      <c r="OD15" s="24">
        <v>698164</v>
      </c>
      <c r="OE15" s="24">
        <v>736474</v>
      </c>
      <c r="OF15" s="24">
        <v>37162</v>
      </c>
      <c r="OG15" s="38">
        <v>5.0500000000000003E-2</v>
      </c>
      <c r="OH15" s="24"/>
      <c r="OI15" s="24"/>
      <c r="OJ15" s="24"/>
      <c r="OK15" s="24">
        <v>87074</v>
      </c>
      <c r="OL15" s="24">
        <v>1</v>
      </c>
      <c r="OM15" s="24">
        <v>611090</v>
      </c>
      <c r="ON15" s="24">
        <v>651359</v>
      </c>
      <c r="OO15" s="24">
        <v>32926</v>
      </c>
      <c r="OP15" s="38">
        <v>5.0500000000000003E-2</v>
      </c>
      <c r="OQ15" s="24"/>
      <c r="OR15" s="24"/>
      <c r="OS15" s="24"/>
      <c r="OT15" s="24">
        <v>91530</v>
      </c>
      <c r="OU15" s="24">
        <v>1</v>
      </c>
      <c r="OV15" s="24">
        <v>519560</v>
      </c>
      <c r="OW15" s="24">
        <v>561889</v>
      </c>
      <c r="OX15" s="24">
        <v>28470</v>
      </c>
      <c r="OY15" s="38">
        <v>5.0700000000000002E-2</v>
      </c>
    </row>
    <row r="16" spans="1:424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  <c r="K16" s="24"/>
      <c r="L16" s="24"/>
      <c r="M16" s="24"/>
      <c r="N16" s="24"/>
      <c r="O16" s="24"/>
      <c r="P16" s="24"/>
      <c r="Q16" s="24"/>
      <c r="R16" s="24"/>
      <c r="S16" s="38"/>
      <c r="T16" s="24"/>
      <c r="U16" s="24"/>
      <c r="V16" s="24"/>
      <c r="W16" s="24"/>
      <c r="X16" s="24"/>
      <c r="Y16" s="24"/>
      <c r="Z16" s="24"/>
      <c r="AA16" s="24"/>
      <c r="AB16" s="38"/>
      <c r="AC16" s="24"/>
      <c r="AD16" s="24"/>
      <c r="AE16" s="24"/>
      <c r="AF16" s="24"/>
      <c r="AG16" s="24"/>
      <c r="AH16" s="24"/>
      <c r="AI16" s="24"/>
      <c r="AJ16" s="24"/>
      <c r="AK16" s="38"/>
      <c r="AL16" s="24"/>
      <c r="AM16" s="24"/>
      <c r="AN16" s="24"/>
      <c r="AO16" s="24"/>
      <c r="AP16" s="24"/>
      <c r="AQ16" s="24"/>
      <c r="AR16" s="24"/>
      <c r="AS16" s="24"/>
      <c r="AT16" s="38"/>
      <c r="AU16" s="24"/>
      <c r="AV16" s="24"/>
      <c r="AW16" s="24"/>
      <c r="AX16" s="24"/>
      <c r="AY16" s="24"/>
      <c r="AZ16" s="24"/>
      <c r="BA16" s="24"/>
      <c r="BB16" s="24"/>
      <c r="BC16" s="38"/>
      <c r="BD16" s="24"/>
      <c r="BE16" s="24"/>
      <c r="BF16" s="24"/>
      <c r="BG16" s="24"/>
      <c r="BH16" s="24"/>
      <c r="BI16" s="24"/>
      <c r="BJ16" s="24"/>
      <c r="BK16" s="24"/>
      <c r="BL16" s="38"/>
      <c r="BM16" s="24"/>
      <c r="BN16" s="24"/>
      <c r="BO16" s="24"/>
      <c r="BP16" s="24"/>
      <c r="BQ16" s="24"/>
      <c r="BR16" s="24"/>
      <c r="BS16" s="24"/>
      <c r="BT16" s="24"/>
      <c r="BU16" s="38"/>
      <c r="BV16" s="24"/>
      <c r="BW16" s="24"/>
      <c r="BX16" s="24"/>
      <c r="BY16" s="24"/>
      <c r="BZ16" s="24"/>
      <c r="CA16" s="24"/>
      <c r="CB16" s="24"/>
      <c r="CC16" s="24"/>
      <c r="CD16" s="38"/>
      <c r="CE16" s="24"/>
      <c r="CF16" s="24"/>
      <c r="CG16" s="24"/>
      <c r="CH16" s="24"/>
      <c r="CI16" s="24"/>
      <c r="CJ16" s="24"/>
      <c r="CK16" s="24"/>
      <c r="CL16" s="24"/>
      <c r="CM16" s="38"/>
      <c r="CN16" s="24"/>
      <c r="CO16" s="24"/>
      <c r="CP16" s="24"/>
      <c r="CQ16" s="24"/>
      <c r="CR16" s="24"/>
      <c r="CS16" s="24"/>
      <c r="CT16" s="24"/>
      <c r="CU16" s="24"/>
      <c r="CV16" s="38"/>
      <c r="CW16" s="24"/>
      <c r="CX16" s="24"/>
      <c r="CY16" s="24"/>
      <c r="CZ16" s="24"/>
      <c r="DA16" s="24"/>
      <c r="DB16" s="24"/>
      <c r="DC16" s="24"/>
      <c r="DD16" s="24"/>
      <c r="DE16" s="38"/>
      <c r="DF16" s="24"/>
      <c r="DG16" s="24"/>
      <c r="DH16" s="24"/>
      <c r="DI16" s="24"/>
      <c r="DJ16" s="24"/>
      <c r="DK16" s="24"/>
      <c r="DL16" s="24"/>
      <c r="DM16" s="24"/>
      <c r="DN16" s="38"/>
      <c r="DO16" s="24"/>
      <c r="DP16" s="24"/>
      <c r="DQ16" s="24"/>
      <c r="DR16" s="24"/>
      <c r="DS16" s="24"/>
      <c r="DT16" s="24"/>
      <c r="DU16" s="24"/>
      <c r="DV16" s="24"/>
      <c r="DW16" s="38"/>
      <c r="DX16" s="24"/>
      <c r="DY16" s="24"/>
      <c r="DZ16" s="24"/>
      <c r="EA16" s="24"/>
      <c r="EB16" s="24"/>
      <c r="EC16" s="24"/>
      <c r="ED16" s="24"/>
      <c r="EE16" s="24"/>
      <c r="EF16" s="38"/>
      <c r="EG16" s="24"/>
      <c r="EH16" s="24"/>
      <c r="EI16" s="24"/>
      <c r="EJ16" s="24"/>
      <c r="EK16" s="24"/>
      <c r="EL16" s="24"/>
      <c r="EM16" s="24"/>
      <c r="EN16" s="24"/>
      <c r="EO16" s="38"/>
      <c r="EP16" s="24"/>
      <c r="EQ16" s="24"/>
      <c r="ER16" s="24"/>
      <c r="ES16" s="24"/>
      <c r="ET16" s="24"/>
      <c r="EU16" s="24"/>
      <c r="EV16" s="24"/>
      <c r="EW16" s="24"/>
      <c r="EX16" s="38"/>
      <c r="EY16" s="24"/>
      <c r="EZ16" s="24"/>
      <c r="FA16" s="24"/>
      <c r="FB16" s="24"/>
      <c r="FC16" s="24"/>
      <c r="FD16" s="24"/>
      <c r="FE16" s="24"/>
      <c r="FF16" s="24"/>
      <c r="FG16" s="38"/>
      <c r="FH16" s="24"/>
      <c r="FI16" s="24"/>
      <c r="FJ16" s="24"/>
      <c r="FK16" s="24"/>
      <c r="FL16" s="24"/>
      <c r="FM16" s="24"/>
      <c r="FN16" s="24"/>
      <c r="FO16" s="24"/>
      <c r="FP16" s="38"/>
      <c r="FQ16" s="24"/>
      <c r="FR16" s="24"/>
      <c r="FS16" s="24"/>
      <c r="FT16" s="24"/>
      <c r="FU16" s="24"/>
      <c r="FV16" s="24"/>
      <c r="FW16" s="24"/>
      <c r="FX16" s="24"/>
      <c r="FY16" s="38"/>
      <c r="FZ16" s="24"/>
      <c r="GA16" s="24"/>
      <c r="GB16" s="24"/>
      <c r="GC16" s="24"/>
      <c r="GD16" s="24"/>
      <c r="GE16" s="24"/>
      <c r="GF16" s="24"/>
      <c r="GG16" s="24"/>
      <c r="GH16" s="38"/>
      <c r="GI16" s="24"/>
      <c r="GJ16" s="24"/>
      <c r="GK16" s="24"/>
      <c r="GL16" s="24"/>
      <c r="GM16" s="24"/>
      <c r="GN16" s="24"/>
      <c r="GO16" s="24"/>
      <c r="GP16" s="24"/>
      <c r="GQ16" s="38"/>
      <c r="GR16" s="24"/>
      <c r="GS16" s="24"/>
      <c r="GT16" s="24"/>
      <c r="GU16" s="24"/>
      <c r="GV16" s="24"/>
      <c r="GW16" s="24"/>
      <c r="GX16" s="24"/>
      <c r="GY16" s="24"/>
      <c r="GZ16" s="38"/>
      <c r="HA16" s="24"/>
      <c r="HB16" s="24"/>
      <c r="HC16" s="24"/>
      <c r="HD16" s="24"/>
      <c r="HE16" s="24"/>
      <c r="HF16" s="24"/>
      <c r="HG16" s="24"/>
      <c r="HH16" s="24"/>
      <c r="HI16" s="38"/>
      <c r="HJ16" s="24"/>
      <c r="HK16" s="24"/>
      <c r="HL16" s="24"/>
      <c r="HM16" s="24"/>
      <c r="HN16" s="24"/>
      <c r="HO16" s="24"/>
      <c r="HP16" s="24"/>
      <c r="HQ16" s="24"/>
      <c r="HR16" s="38"/>
      <c r="HS16" s="24"/>
      <c r="HT16" s="24"/>
      <c r="HU16" s="24"/>
      <c r="HV16" s="24"/>
      <c r="HW16" s="24"/>
      <c r="HX16" s="24"/>
      <c r="HY16" s="24"/>
      <c r="HZ16" s="24"/>
      <c r="IA16" s="38"/>
      <c r="IB16" s="24"/>
      <c r="IC16" s="24"/>
      <c r="ID16" s="24"/>
      <c r="IE16" s="24"/>
      <c r="IF16" s="24"/>
      <c r="IG16" s="24"/>
      <c r="IH16" s="24"/>
      <c r="II16" s="24"/>
      <c r="IJ16" s="38"/>
      <c r="IK16" s="24"/>
      <c r="IL16" s="24"/>
      <c r="IM16" s="24"/>
      <c r="IN16" s="24"/>
      <c r="IO16" s="24"/>
      <c r="IP16" s="24"/>
      <c r="IQ16" s="24"/>
      <c r="IR16" s="24"/>
      <c r="IS16" s="38"/>
      <c r="IT16" s="24">
        <v>70</v>
      </c>
      <c r="IU16" s="24">
        <v>129310000</v>
      </c>
      <c r="IV16" s="24">
        <v>3</v>
      </c>
      <c r="IW16" s="24">
        <v>14202018</v>
      </c>
      <c r="IX16" s="24">
        <v>67</v>
      </c>
      <c r="IY16" s="24">
        <v>115107982</v>
      </c>
      <c r="IZ16" s="24">
        <v>54851997</v>
      </c>
      <c r="JA16" s="24">
        <v>5013474</v>
      </c>
      <c r="JB16" s="38"/>
      <c r="JC16" s="24">
        <v>92</v>
      </c>
      <c r="JD16" s="24">
        <v>185320000</v>
      </c>
      <c r="JE16" s="24">
        <v>11</v>
      </c>
      <c r="JF16" s="24">
        <v>59607662</v>
      </c>
      <c r="JG16" s="24">
        <v>148</v>
      </c>
      <c r="JH16" s="24">
        <v>240820320</v>
      </c>
      <c r="JI16" s="24">
        <v>195723353</v>
      </c>
      <c r="JJ16" s="24">
        <v>19520514</v>
      </c>
      <c r="JK16" s="38">
        <v>9.9699999999999997E-2</v>
      </c>
      <c r="JL16" s="24">
        <v>87</v>
      </c>
      <c r="JM16" s="24">
        <v>133390000</v>
      </c>
      <c r="JN16" s="24">
        <v>29</v>
      </c>
      <c r="JO16" s="24">
        <v>87626799</v>
      </c>
      <c r="JP16" s="24">
        <v>206</v>
      </c>
      <c r="JQ16" s="24">
        <v>286583521</v>
      </c>
      <c r="JR16" s="24">
        <v>270621438</v>
      </c>
      <c r="JS16" s="24">
        <v>28099892</v>
      </c>
      <c r="JT16" s="38">
        <v>0.1038</v>
      </c>
      <c r="JU16" s="24">
        <v>53</v>
      </c>
      <c r="JV16" s="24">
        <v>95650000</v>
      </c>
      <c r="JW16" s="24">
        <v>39</v>
      </c>
      <c r="JX16" s="24">
        <v>85780770</v>
      </c>
      <c r="JY16" s="24">
        <v>220</v>
      </c>
      <c r="JZ16" s="24">
        <v>296452751</v>
      </c>
      <c r="KA16" s="24">
        <v>291226552</v>
      </c>
      <c r="KB16" s="24">
        <v>30461496</v>
      </c>
      <c r="KC16" s="38">
        <v>0.1046</v>
      </c>
      <c r="KD16" s="24">
        <v>37</v>
      </c>
      <c r="KE16" s="24">
        <v>52680000</v>
      </c>
      <c r="KF16" s="24">
        <v>47</v>
      </c>
      <c r="KG16" s="24">
        <v>99079778</v>
      </c>
      <c r="KH16" s="24">
        <v>210</v>
      </c>
      <c r="KI16" s="24">
        <v>250052973</v>
      </c>
      <c r="KJ16" s="24">
        <v>278236189</v>
      </c>
      <c r="KK16" s="24">
        <v>29440301</v>
      </c>
      <c r="KL16" s="38">
        <v>0.10580000000000001</v>
      </c>
      <c r="KM16" s="24">
        <v>24</v>
      </c>
      <c r="KN16" s="24">
        <v>46750000</v>
      </c>
      <c r="KO16" s="24">
        <v>50</v>
      </c>
      <c r="KP16" s="24">
        <v>78382145</v>
      </c>
      <c r="KQ16" s="24">
        <v>184</v>
      </c>
      <c r="KR16" s="24">
        <v>218420828</v>
      </c>
      <c r="KS16" s="24">
        <v>235235401</v>
      </c>
      <c r="KT16" s="24">
        <v>24574359</v>
      </c>
      <c r="KU16" s="38">
        <v>0.1045</v>
      </c>
      <c r="KV16" s="24"/>
      <c r="KW16" s="24">
        <v>0</v>
      </c>
      <c r="KX16" s="24">
        <v>51</v>
      </c>
      <c r="KY16" s="24">
        <v>63902791</v>
      </c>
      <c r="KZ16" s="24">
        <v>133</v>
      </c>
      <c r="LA16" s="24">
        <v>154518037</v>
      </c>
      <c r="LB16" s="24">
        <v>182881579</v>
      </c>
      <c r="LC16" s="24">
        <v>19256338</v>
      </c>
      <c r="LD16" s="38">
        <v>0.1053</v>
      </c>
      <c r="LE16" s="24">
        <v>0</v>
      </c>
      <c r="LF16" s="24">
        <v>0</v>
      </c>
      <c r="LG16" s="24">
        <v>37</v>
      </c>
      <c r="LH16" s="24">
        <v>44897129</v>
      </c>
      <c r="LI16" s="24">
        <v>96</v>
      </c>
      <c r="LJ16" s="24">
        <v>109620908</v>
      </c>
      <c r="LK16" s="24">
        <v>130724381</v>
      </c>
      <c r="LL16" s="24">
        <v>13687289</v>
      </c>
      <c r="LM16" s="38">
        <v>0.1047</v>
      </c>
      <c r="LN16" s="24"/>
      <c r="LO16" s="24"/>
      <c r="LP16" s="24">
        <v>34</v>
      </c>
      <c r="LQ16" s="24">
        <v>34632969</v>
      </c>
      <c r="LR16" s="24">
        <v>62</v>
      </c>
      <c r="LS16" s="24">
        <v>74987939</v>
      </c>
      <c r="LT16" s="24">
        <v>89701066</v>
      </c>
      <c r="LU16" s="24">
        <v>9477690</v>
      </c>
      <c r="LV16" s="38">
        <v>0.1057</v>
      </c>
      <c r="LW16" s="24"/>
      <c r="LX16" s="24"/>
      <c r="LY16" s="24">
        <v>16</v>
      </c>
      <c r="LZ16" s="24">
        <v>23212999</v>
      </c>
      <c r="MA16" s="24">
        <v>46</v>
      </c>
      <c r="MB16" s="24">
        <v>51774940</v>
      </c>
      <c r="MC16" s="24">
        <v>62550811</v>
      </c>
      <c r="MD16" s="24">
        <v>6148257</v>
      </c>
      <c r="ME16" s="38">
        <v>9.8299999999999998E-2</v>
      </c>
      <c r="MF16" s="24"/>
      <c r="MG16" s="24"/>
      <c r="MH16" s="24">
        <v>14</v>
      </c>
      <c r="MI16" s="24">
        <v>18649959</v>
      </c>
      <c r="MJ16" s="24">
        <v>32</v>
      </c>
      <c r="MK16" s="24">
        <v>33124981</v>
      </c>
      <c r="ML16" s="24">
        <v>39987891</v>
      </c>
      <c r="MM16" s="24">
        <v>3691407</v>
      </c>
      <c r="MN16" s="38">
        <v>9.2299999999999993E-2</v>
      </c>
      <c r="MO16" s="24"/>
      <c r="MP16" s="24"/>
      <c r="MQ16" s="24">
        <v>8</v>
      </c>
      <c r="MR16" s="24">
        <v>11573013</v>
      </c>
      <c r="MS16" s="24">
        <v>24</v>
      </c>
      <c r="MT16" s="24">
        <v>21551968</v>
      </c>
      <c r="MU16" s="24">
        <v>26361061</v>
      </c>
      <c r="MV16" s="24">
        <v>2337625</v>
      </c>
      <c r="MW16" s="38">
        <v>8.8700000000000001E-2</v>
      </c>
      <c r="MX16" s="24"/>
      <c r="MY16" s="24"/>
      <c r="MZ16" s="24">
        <v>11</v>
      </c>
      <c r="NA16" s="24">
        <v>8492738</v>
      </c>
      <c r="NB16" s="24">
        <v>13</v>
      </c>
      <c r="NC16" s="24">
        <v>13059230</v>
      </c>
      <c r="ND16" s="24">
        <v>16255280</v>
      </c>
      <c r="NE16" s="24">
        <v>1217497</v>
      </c>
      <c r="NF16" s="38">
        <v>7.4899999999999994E-2</v>
      </c>
      <c r="NG16" s="24"/>
      <c r="NH16" s="24"/>
      <c r="NI16" s="24">
        <v>7</v>
      </c>
      <c r="NJ16" s="24">
        <v>3585490</v>
      </c>
      <c r="NK16" s="24">
        <v>6</v>
      </c>
      <c r="NL16" s="24">
        <v>9473740</v>
      </c>
      <c r="NM16" s="24">
        <v>11273489</v>
      </c>
      <c r="NN16" s="24">
        <v>710768</v>
      </c>
      <c r="NO16" s="38">
        <v>6.3E-2</v>
      </c>
      <c r="NP16" s="24"/>
      <c r="NQ16" s="24"/>
      <c r="NR16" s="24">
        <v>1</v>
      </c>
      <c r="NS16" s="24">
        <v>1554034</v>
      </c>
      <c r="NT16" s="24">
        <v>5</v>
      </c>
      <c r="NU16" s="24">
        <v>7919706</v>
      </c>
      <c r="NV16" s="24">
        <v>8616939</v>
      </c>
      <c r="NW16" s="24">
        <v>482562</v>
      </c>
      <c r="NX16" s="38">
        <v>5.6000000000000001E-2</v>
      </c>
      <c r="NY16" s="24"/>
      <c r="NZ16" s="24"/>
      <c r="OA16" s="24"/>
      <c r="OB16" s="24">
        <v>1047432</v>
      </c>
      <c r="OC16" s="24">
        <v>5</v>
      </c>
      <c r="OD16" s="24">
        <v>6872274</v>
      </c>
      <c r="OE16" s="24">
        <v>7361929</v>
      </c>
      <c r="OF16" s="24">
        <v>355932</v>
      </c>
      <c r="OG16" s="38">
        <v>4.8300000000000003E-2</v>
      </c>
      <c r="OH16" s="24"/>
      <c r="OI16" s="24"/>
      <c r="OJ16" s="24"/>
      <c r="OK16" s="24">
        <v>1083114</v>
      </c>
      <c r="OL16" s="24">
        <v>5</v>
      </c>
      <c r="OM16" s="24">
        <v>5789160</v>
      </c>
      <c r="ON16" s="24">
        <v>6301245</v>
      </c>
      <c r="OO16" s="24">
        <v>226298</v>
      </c>
      <c r="OP16" s="38">
        <v>3.5900000000000001E-2</v>
      </c>
      <c r="OQ16" s="24"/>
      <c r="OR16" s="24"/>
      <c r="OS16" s="24">
        <v>2</v>
      </c>
      <c r="OT16" s="24">
        <v>1260767</v>
      </c>
      <c r="OU16" s="24">
        <v>3</v>
      </c>
      <c r="OV16" s="24">
        <v>4528393</v>
      </c>
      <c r="OW16" s="24">
        <v>5111491</v>
      </c>
      <c r="OX16" s="24">
        <v>144172</v>
      </c>
      <c r="OY16" s="38">
        <v>2.8199999999999999E-2</v>
      </c>
    </row>
    <row r="17" spans="1:424" s="26" customFormat="1" x14ac:dyDescent="0.2">
      <c r="A17" s="36" t="s">
        <v>73</v>
      </c>
      <c r="B17" s="25">
        <f>SUM(B5:B16)</f>
        <v>40</v>
      </c>
      <c r="C17" s="25">
        <f t="shared" ref="C17:I17" si="0">SUM(C5:C16)</f>
        <v>3110000</v>
      </c>
      <c r="D17" s="25">
        <f t="shared" si="0"/>
        <v>55</v>
      </c>
      <c r="E17" s="25">
        <f t="shared" si="0"/>
        <v>4156800</v>
      </c>
      <c r="F17" s="25">
        <f t="shared" si="0"/>
        <v>43</v>
      </c>
      <c r="G17" s="25">
        <f t="shared" si="0"/>
        <v>1968040</v>
      </c>
      <c r="H17" s="25">
        <f t="shared" si="0"/>
        <v>0</v>
      </c>
      <c r="I17" s="25">
        <f t="shared" si="0"/>
        <v>410026</v>
      </c>
      <c r="J17" s="39" t="str">
        <f>IF(SUM(J4:J16)=0,"",SUM(J4:J16)/COUNT(J4:J16))</f>
        <v/>
      </c>
      <c r="K17" s="25">
        <f>SUM(K5:K16)</f>
        <v>50</v>
      </c>
      <c r="L17" s="25">
        <f t="shared" ref="L17" si="1">SUM(L5:L16)</f>
        <v>20000000</v>
      </c>
      <c r="M17" s="25">
        <f t="shared" ref="M17" si="2">SUM(M5:M16)</f>
        <v>50</v>
      </c>
      <c r="N17" s="25">
        <f t="shared" ref="N17" si="3">SUM(N5:N16)</f>
        <v>14000000</v>
      </c>
      <c r="O17" s="25">
        <f t="shared" ref="O17" si="4">SUM(O5:O16)</f>
        <v>12</v>
      </c>
      <c r="P17" s="25">
        <f t="shared" ref="P17" si="5">SUM(P5:P16)</f>
        <v>6800000</v>
      </c>
      <c r="Q17" s="25">
        <f t="shared" ref="Q17" si="6">SUM(Q5:Q16)</f>
        <v>20000000</v>
      </c>
      <c r="R17" s="25">
        <f t="shared" ref="R17" si="7">SUM(R5:R16)</f>
        <v>2400000</v>
      </c>
      <c r="S17" s="39">
        <f>IF(SUM(S4:S16)=0,"",SUM(S4:S16)/COUNT(S4:S16))</f>
        <v>0.12</v>
      </c>
      <c r="T17" s="25">
        <f>SUM(T5:T16)</f>
        <v>12</v>
      </c>
      <c r="U17" s="25">
        <f t="shared" ref="U17" si="8">SUM(U5:U16)</f>
        <v>3580000</v>
      </c>
      <c r="V17" s="25">
        <f t="shared" ref="V17" si="9">SUM(V5:V16)</f>
        <v>0</v>
      </c>
      <c r="W17" s="25">
        <f t="shared" ref="W17" si="10">SUM(W5:W16)</f>
        <v>0</v>
      </c>
      <c r="X17" s="25">
        <f t="shared" ref="X17" si="11">SUM(X5:X16)</f>
        <v>0</v>
      </c>
      <c r="Y17" s="25">
        <f t="shared" ref="Y17" si="12">SUM(Y5:Y16)</f>
        <v>0</v>
      </c>
      <c r="Z17" s="25">
        <f t="shared" ref="Z17" si="13">SUM(Z5:Z16)</f>
        <v>0</v>
      </c>
      <c r="AA17" s="25">
        <f t="shared" ref="AA17" si="14">SUM(AA5:AA16)</f>
        <v>0</v>
      </c>
      <c r="AB17" s="39" t="str">
        <f>IF(SUM(AB4:AB16)=0,"",SUM(AB4:AB16)/COUNT(AB4:AB16))</f>
        <v/>
      </c>
      <c r="AC17" s="25">
        <f>SUM(AC5:AC16)</f>
        <v>15</v>
      </c>
      <c r="AD17" s="25">
        <f t="shared" ref="AD17" si="15">SUM(AD5:AD16)</f>
        <v>4700000</v>
      </c>
      <c r="AE17" s="25">
        <f t="shared" ref="AE17" si="16">SUM(AE5:AE16)</f>
        <v>0</v>
      </c>
      <c r="AF17" s="25">
        <f t="shared" ref="AF17" si="17">SUM(AF5:AF16)</f>
        <v>0</v>
      </c>
      <c r="AG17" s="25">
        <f t="shared" ref="AG17" si="18">SUM(AG5:AG16)</f>
        <v>21</v>
      </c>
      <c r="AH17" s="25">
        <f t="shared" ref="AH17" si="19">SUM(AH5:AH16)</f>
        <v>4656000</v>
      </c>
      <c r="AI17" s="25">
        <f t="shared" ref="AI17" si="20">SUM(AI5:AI16)</f>
        <v>0</v>
      </c>
      <c r="AJ17" s="25">
        <f t="shared" ref="AJ17" si="21">SUM(AJ5:AJ16)</f>
        <v>0</v>
      </c>
      <c r="AK17" s="39" t="str">
        <f>IF(SUM(AK4:AK16)=0,"",SUM(AK4:AK16)/COUNT(AK4:AK16))</f>
        <v/>
      </c>
      <c r="AL17" s="25">
        <f>SUM(AL5:AL16)</f>
        <v>11</v>
      </c>
      <c r="AM17" s="25">
        <f t="shared" ref="AM17" si="22">SUM(AM5:AM16)</f>
        <v>3900000</v>
      </c>
      <c r="AN17" s="25">
        <f t="shared" ref="AN17" si="23">SUM(AN5:AN16)</f>
        <v>0</v>
      </c>
      <c r="AO17" s="25">
        <f t="shared" ref="AO17" si="24">SUM(AO5:AO16)</f>
        <v>2903000</v>
      </c>
      <c r="AP17" s="25">
        <f t="shared" ref="AP17" si="25">SUM(AP5:AP16)</f>
        <v>0</v>
      </c>
      <c r="AQ17" s="25">
        <f t="shared" ref="AQ17" si="26">SUM(AQ5:AQ16)</f>
        <v>5620000</v>
      </c>
      <c r="AR17" s="25">
        <f t="shared" ref="AR17" si="27">SUM(AR5:AR16)</f>
        <v>2900000</v>
      </c>
      <c r="AS17" s="25">
        <f t="shared" ref="AS17" si="28">SUM(AS5:AS16)</f>
        <v>540000</v>
      </c>
      <c r="AT17" s="39">
        <f>IF(SUM(AT4:AT16)=0,"",SUM(AT4:AT16)/COUNT(AT4:AT16))</f>
        <v>9.4500000000000001E-2</v>
      </c>
      <c r="AU17" s="25">
        <f>SUM(AU5:AU16)</f>
        <v>7</v>
      </c>
      <c r="AV17" s="25">
        <f t="shared" ref="AV17" si="29">SUM(AV5:AV16)</f>
        <v>4800000</v>
      </c>
      <c r="AW17" s="25">
        <f t="shared" ref="AW17" si="30">SUM(AW5:AW16)</f>
        <v>0</v>
      </c>
      <c r="AX17" s="25">
        <f t="shared" ref="AX17" si="31">SUM(AX5:AX16)</f>
        <v>6126100</v>
      </c>
      <c r="AY17" s="25">
        <f t="shared" ref="AY17" si="32">SUM(AY5:AY16)</f>
        <v>15</v>
      </c>
      <c r="AZ17" s="25">
        <f t="shared" ref="AZ17" si="33">SUM(AZ5:AZ16)</f>
        <v>3297500</v>
      </c>
      <c r="BA17" s="25">
        <f t="shared" ref="BA17" si="34">SUM(BA5:BA16)</f>
        <v>4628917</v>
      </c>
      <c r="BB17" s="25">
        <f t="shared" ref="BB17" si="35">SUM(BB5:BB16)</f>
        <v>527000</v>
      </c>
      <c r="BC17" s="39" t="str">
        <f>IF(SUM(BC4:BC16)=0,"",SUM(BC4:BC16)/COUNT(BC4:BC16))</f>
        <v/>
      </c>
      <c r="BD17" s="25">
        <f>SUM(BD5:BD16)</f>
        <v>10</v>
      </c>
      <c r="BE17" s="25">
        <f t="shared" ref="BE17" si="36">SUM(BE5:BE16)</f>
        <v>3350000</v>
      </c>
      <c r="BF17" s="25">
        <f t="shared" ref="BF17" si="37">SUM(BF5:BF16)</f>
        <v>0</v>
      </c>
      <c r="BG17" s="25">
        <f t="shared" ref="BG17" si="38">SUM(BG5:BG16)</f>
        <v>4213000</v>
      </c>
      <c r="BH17" s="25">
        <f t="shared" ref="BH17" si="39">SUM(BH5:BH16)</f>
        <v>14</v>
      </c>
      <c r="BI17" s="25">
        <f t="shared" ref="BI17" si="40">SUM(BI5:BI16)</f>
        <v>2434500</v>
      </c>
      <c r="BJ17" s="25">
        <f t="shared" ref="BJ17" si="41">SUM(BJ5:BJ16)</f>
        <v>3236008</v>
      </c>
      <c r="BK17" s="25">
        <f t="shared" ref="BK17" si="42">SUM(BK5:BK16)</f>
        <v>416000</v>
      </c>
      <c r="BL17" s="39" t="str">
        <f>IF(SUM(BL4:BL16)=0,"",SUM(BL4:BL16)/COUNT(BL4:BL16))</f>
        <v/>
      </c>
      <c r="BM17" s="25">
        <f>SUM(BM5:BM16)</f>
        <v>36</v>
      </c>
      <c r="BN17" s="25">
        <f t="shared" ref="BN17" si="43">SUM(BN5:BN16)</f>
        <v>19060000</v>
      </c>
      <c r="BO17" s="25">
        <f t="shared" ref="BO17" si="44">SUM(BO5:BO16)</f>
        <v>12</v>
      </c>
      <c r="BP17" s="25">
        <f t="shared" ref="BP17" si="45">SUM(BP5:BP16)</f>
        <v>7082174</v>
      </c>
      <c r="BQ17" s="25">
        <f t="shared" ref="BQ17" si="46">SUM(BQ5:BQ16)</f>
        <v>42</v>
      </c>
      <c r="BR17" s="25">
        <f t="shared" ref="BR17" si="47">SUM(BR5:BR16)</f>
        <v>16210621</v>
      </c>
      <c r="BS17" s="25">
        <f t="shared" ref="BS17" si="48">SUM(BS5:BS16)</f>
        <v>10750120</v>
      </c>
      <c r="BT17" s="25">
        <f t="shared" ref="BT17" si="49">SUM(BT5:BT16)</f>
        <v>1516000</v>
      </c>
      <c r="BU17" s="39" t="str">
        <f>IF(SUM(BU4:BU16)=0,"",SUM(BU4:BU16)/COUNT(BU4:BU16))</f>
        <v/>
      </c>
      <c r="BV17" s="25">
        <f>SUM(BV5:BV16)</f>
        <v>54</v>
      </c>
      <c r="BW17" s="25">
        <f t="shared" ref="BW17" si="50">SUM(BW5:BW16)</f>
        <v>28709000</v>
      </c>
      <c r="BX17" s="25">
        <f t="shared" ref="BX17" si="51">SUM(BX5:BX16)</f>
        <v>31</v>
      </c>
      <c r="BY17" s="25">
        <f t="shared" ref="BY17" si="52">SUM(BY5:BY16)</f>
        <v>18091362</v>
      </c>
      <c r="BZ17" s="25">
        <f t="shared" ref="BZ17" si="53">SUM(BZ5:BZ16)</f>
        <v>65</v>
      </c>
      <c r="CA17" s="25">
        <f t="shared" ref="CA17" si="54">SUM(CA5:CA16)</f>
        <v>26828259</v>
      </c>
      <c r="CB17" s="25">
        <f t="shared" ref="CB17" si="55">SUM(CB5:CB16)</f>
        <v>24921166</v>
      </c>
      <c r="CC17" s="25">
        <f t="shared" ref="CC17" si="56">SUM(CC5:CC16)</f>
        <v>3969000</v>
      </c>
      <c r="CD17" s="39" t="str">
        <f>IF(SUM(CD4:CD16)=0,"",SUM(CD4:CD16)/COUNT(CD4:CD16))</f>
        <v/>
      </c>
      <c r="CE17" s="25">
        <f>SUM(CE5:CE16)</f>
        <v>0</v>
      </c>
      <c r="CF17" s="25">
        <f t="shared" ref="CF17" si="57">SUM(CF5:CF16)</f>
        <v>0</v>
      </c>
      <c r="CG17" s="25">
        <f t="shared" ref="CG17" si="58">SUM(CG5:CG16)</f>
        <v>0</v>
      </c>
      <c r="CH17" s="25">
        <f t="shared" ref="CH17" si="59">SUM(CH5:CH16)</f>
        <v>0</v>
      </c>
      <c r="CI17" s="25">
        <f t="shared" ref="CI17" si="60">SUM(CI5:CI16)</f>
        <v>0</v>
      </c>
      <c r="CJ17" s="25">
        <f t="shared" ref="CJ17" si="61">SUM(CJ5:CJ16)</f>
        <v>55658000</v>
      </c>
      <c r="CK17" s="25">
        <f t="shared" ref="CK17" si="62">SUM(CK5:CK16)</f>
        <v>0</v>
      </c>
      <c r="CL17" s="25">
        <f t="shared" ref="CL17" si="63">SUM(CL5:CL16)</f>
        <v>0</v>
      </c>
      <c r="CM17" s="39" t="str">
        <f>IF(SUM(CM4:CM16)=0,"",SUM(CM4:CM16)/COUNT(CM4:CM16))</f>
        <v/>
      </c>
      <c r="CN17" s="25">
        <f>SUM(CN5:CN16)</f>
        <v>0</v>
      </c>
      <c r="CO17" s="25">
        <f t="shared" ref="CO17" si="64">SUM(CO5:CO16)</f>
        <v>0</v>
      </c>
      <c r="CP17" s="25">
        <f t="shared" ref="CP17" si="65">SUM(CP5:CP16)</f>
        <v>0</v>
      </c>
      <c r="CQ17" s="25">
        <f t="shared" ref="CQ17" si="66">SUM(CQ5:CQ16)</f>
        <v>0</v>
      </c>
      <c r="CR17" s="25">
        <f t="shared" ref="CR17" si="67">SUM(CR5:CR16)</f>
        <v>0</v>
      </c>
      <c r="CS17" s="25">
        <f t="shared" ref="CS17" si="68">SUM(CS5:CS16)</f>
        <v>78982000</v>
      </c>
      <c r="CT17" s="25">
        <f t="shared" ref="CT17" si="69">SUM(CT5:CT16)</f>
        <v>0</v>
      </c>
      <c r="CU17" s="25">
        <f t="shared" ref="CU17" si="70">SUM(CU5:CU16)</f>
        <v>0</v>
      </c>
      <c r="CV17" s="39" t="str">
        <f>IF(SUM(CV4:CV16)=0,"",SUM(CV4:CV16)/COUNT(CV4:CV16))</f>
        <v/>
      </c>
      <c r="CW17" s="25">
        <f>SUM(CW5:CW16)</f>
        <v>0</v>
      </c>
      <c r="CX17" s="25">
        <f t="shared" ref="CX17" si="71">SUM(CX5:CX16)</f>
        <v>0</v>
      </c>
      <c r="CY17" s="25">
        <f t="shared" ref="CY17" si="72">SUM(CY5:CY16)</f>
        <v>0</v>
      </c>
      <c r="CZ17" s="25">
        <f t="shared" ref="CZ17" si="73">SUM(CZ5:CZ16)</f>
        <v>0</v>
      </c>
      <c r="DA17" s="25">
        <f t="shared" ref="DA17" si="74">SUM(DA5:DA16)</f>
        <v>0</v>
      </c>
      <c r="DB17" s="25">
        <f t="shared" ref="DB17" si="75">SUM(DB5:DB16)</f>
        <v>92191000</v>
      </c>
      <c r="DC17" s="25">
        <f t="shared" ref="DC17" si="76">SUM(DC5:DC16)</f>
        <v>0</v>
      </c>
      <c r="DD17" s="25">
        <f t="shared" ref="DD17" si="77">SUM(DD5:DD16)</f>
        <v>0</v>
      </c>
      <c r="DE17" s="39" t="str">
        <f>IF(SUM(DE4:DE16)=0,"",SUM(DE4:DE16)/COUNT(DE4:DE16))</f>
        <v/>
      </c>
      <c r="DF17" s="25">
        <f>SUM(DF5:DF16)</f>
        <v>81</v>
      </c>
      <c r="DG17" s="25">
        <f t="shared" ref="DG17" si="78">SUM(DG5:DG16)</f>
        <v>60407000</v>
      </c>
      <c r="DH17" s="25">
        <f t="shared" ref="DH17" si="79">SUM(DH5:DH16)</f>
        <v>85</v>
      </c>
      <c r="DI17" s="25">
        <f t="shared" ref="DI17" si="80">SUM(DI5:DI16)</f>
        <v>60134000</v>
      </c>
      <c r="DJ17" s="25">
        <f t="shared" ref="DJ17" si="81">SUM(DJ5:DJ16)</f>
        <v>188</v>
      </c>
      <c r="DK17" s="25">
        <f t="shared" ref="DK17" si="82">SUM(DK5:DK16)</f>
        <v>92464000</v>
      </c>
      <c r="DL17" s="25">
        <f t="shared" ref="DL17" si="83">SUM(DL5:DL16)</f>
        <v>92327000</v>
      </c>
      <c r="DM17" s="25">
        <f t="shared" ref="DM17" si="84">SUM(DM5:DM16)</f>
        <v>18050000</v>
      </c>
      <c r="DN17" s="39">
        <f>IF(SUM(DN4:DN16)=0,"",SUM(DN4:DN16)/COUNT(DN4:DN16))</f>
        <v>0.19550000000000001</v>
      </c>
      <c r="DO17" s="25">
        <f>SUM(DO5:DO16)</f>
        <v>59</v>
      </c>
      <c r="DP17" s="25">
        <f t="shared" ref="DP17" si="85">SUM(DP5:DP16)</f>
        <v>51610000</v>
      </c>
      <c r="DQ17" s="25">
        <f t="shared" ref="DQ17" si="86">SUM(DQ5:DQ16)</f>
        <v>86</v>
      </c>
      <c r="DR17" s="25">
        <f t="shared" ref="DR17" si="87">SUM(DR5:DR16)</f>
        <v>57816299</v>
      </c>
      <c r="DS17" s="25">
        <f t="shared" ref="DS17" si="88">SUM(DS5:DS16)</f>
        <v>161</v>
      </c>
      <c r="DT17" s="25">
        <f t="shared" ref="DT17" si="89">SUM(DT5:DT16)</f>
        <v>85807719</v>
      </c>
      <c r="DU17" s="25">
        <f t="shared" ref="DU17" si="90">SUM(DU5:DU16)</f>
        <v>83654417</v>
      </c>
      <c r="DV17" s="25">
        <f t="shared" ref="DV17" si="91">SUM(DV5:DV16)</f>
        <v>14229823</v>
      </c>
      <c r="DW17" s="39">
        <f>IF(SUM(DW4:DW16)=0,"",SUM(DW4:DW16)/COUNT(DW4:DW16))</f>
        <v>0.1701</v>
      </c>
      <c r="DX17" s="25">
        <f>SUM(DX5:DX16)</f>
        <v>49</v>
      </c>
      <c r="DY17" s="25">
        <f t="shared" ref="DY17" si="92">SUM(DY5:DY16)</f>
        <v>42955000</v>
      </c>
      <c r="DZ17" s="25">
        <f t="shared" ref="DZ17" si="93">SUM(DZ5:DZ16)</f>
        <v>79</v>
      </c>
      <c r="EA17" s="25">
        <f t="shared" ref="EA17" si="94">SUM(EA5:EA16)</f>
        <v>50829625</v>
      </c>
      <c r="EB17" s="25">
        <f t="shared" ref="EB17" si="95">SUM(EB5:EB16)</f>
        <v>131</v>
      </c>
      <c r="EC17" s="25">
        <f t="shared" ref="EC17" si="96">SUM(EC5:EC16)</f>
        <v>77933094</v>
      </c>
      <c r="ED17" s="25">
        <f t="shared" ref="ED17" si="97">SUM(ED5:ED16)</f>
        <v>86188227</v>
      </c>
      <c r="EE17" s="25">
        <f t="shared" ref="EE17" si="98">SUM(EE5:EE16)</f>
        <v>13191004</v>
      </c>
      <c r="EF17" s="39">
        <f>IF(SUM(EF4:EF16)=0,"",SUM(EF4:EF16)/COUNT(EF4:EF16))</f>
        <v>0.153</v>
      </c>
      <c r="EG17" s="25">
        <f>SUM(EG5:EG16)</f>
        <v>36</v>
      </c>
      <c r="EH17" s="25">
        <f t="shared" ref="EH17" si="99">SUM(EH5:EH16)</f>
        <v>37992002</v>
      </c>
      <c r="EI17" s="25">
        <f t="shared" ref="EI17" si="100">SUM(EI5:EI16)</f>
        <v>66</v>
      </c>
      <c r="EJ17" s="25">
        <f t="shared" ref="EJ17" si="101">SUM(EJ5:EJ16)</f>
        <v>47434045</v>
      </c>
      <c r="EK17" s="25">
        <f t="shared" ref="EK17" si="102">SUM(EK5:EK16)</f>
        <v>101</v>
      </c>
      <c r="EL17" s="25">
        <f t="shared" ref="EL17" si="103">SUM(EL5:EL16)</f>
        <v>68491051</v>
      </c>
      <c r="EM17" s="25">
        <f t="shared" ref="EM17" si="104">SUM(EM5:EM16)</f>
        <v>70981628</v>
      </c>
      <c r="EN17" s="25">
        <f t="shared" ref="EN17" si="105">SUM(EN5:EN16)</f>
        <v>9777901</v>
      </c>
      <c r="EO17" s="39">
        <f>IF(SUM(EO4:EO16)=0,"",SUM(EO4:EO16)/COUNT(EO4:EO16))</f>
        <v>0.13769999999999999</v>
      </c>
      <c r="EP17" s="25">
        <f>SUM(EP5:EP16)</f>
        <v>60</v>
      </c>
      <c r="EQ17" s="25">
        <f t="shared" ref="EQ17" si="106">SUM(EQ5:EQ16)</f>
        <v>103316222</v>
      </c>
      <c r="ER17" s="25">
        <f t="shared" ref="ER17" si="107">SUM(ER5:ER16)</f>
        <v>36</v>
      </c>
      <c r="ES17" s="25">
        <f t="shared" ref="ES17" si="108">SUM(ES5:ES16)</f>
        <v>41282471</v>
      </c>
      <c r="ET17" s="25">
        <f t="shared" ref="ET17" si="109">SUM(ET5:ET16)</f>
        <v>125</v>
      </c>
      <c r="EU17" s="25">
        <f t="shared" ref="EU17" si="110">SUM(EU5:EU16)</f>
        <v>130543802</v>
      </c>
      <c r="EV17" s="25">
        <f t="shared" ref="EV17" si="111">SUM(EV5:EV16)</f>
        <v>98007841</v>
      </c>
      <c r="EW17" s="25">
        <f t="shared" ref="EW17" si="112">SUM(EW5:EW16)</f>
        <v>13274633</v>
      </c>
      <c r="EX17" s="39">
        <f>IF(SUM(EX4:EX16)=0,"",SUM(EX4:EX16)/COUNT(EX4:EX16))</f>
        <v>0.13539999999999999</v>
      </c>
      <c r="EY17" s="25">
        <f>SUM(EY5:EY16)</f>
        <v>139</v>
      </c>
      <c r="EZ17" s="25">
        <f t="shared" ref="EZ17" si="113">SUM(EZ5:EZ16)</f>
        <v>218939428</v>
      </c>
      <c r="FA17" s="25">
        <f t="shared" ref="FA17" si="114">SUM(FA5:FA16)</f>
        <v>59</v>
      </c>
      <c r="FB17" s="25">
        <f t="shared" ref="FB17" si="115">SUM(FB5:FB16)</f>
        <v>69066711</v>
      </c>
      <c r="FC17" s="25">
        <f t="shared" ref="FC17" si="116">SUM(FC5:FC16)</f>
        <v>205</v>
      </c>
      <c r="FD17" s="25">
        <f t="shared" ref="FD17" si="117">SUM(FD5:FD16)</f>
        <v>280416519</v>
      </c>
      <c r="FE17" s="25">
        <f t="shared" ref="FE17" si="118">SUM(FE5:FE16)</f>
        <v>209133299</v>
      </c>
      <c r="FF17" s="25">
        <f t="shared" ref="FF17" si="119">SUM(FF5:FF16)</f>
        <v>27306604</v>
      </c>
      <c r="FG17" s="39">
        <f>IF(SUM(FG4:FG16)=0,"",SUM(FG4:FG16)/COUNT(FG4:FG16))</f>
        <v>0.1305</v>
      </c>
      <c r="FH17" s="25">
        <f>SUM(FH5:FH16)</f>
        <v>194</v>
      </c>
      <c r="FI17" s="25">
        <f t="shared" ref="FI17" si="120">SUM(FI5:FI16)</f>
        <v>379353181</v>
      </c>
      <c r="FJ17" s="25">
        <f t="shared" ref="FJ17" si="121">SUM(FJ5:FJ16)</f>
        <v>59</v>
      </c>
      <c r="FK17" s="25">
        <f t="shared" ref="FK17" si="122">SUM(FK5:FK16)</f>
        <v>107368896</v>
      </c>
      <c r="FL17" s="25">
        <f t="shared" ref="FL17" si="123">SUM(FL5:FL16)</f>
        <v>340</v>
      </c>
      <c r="FM17" s="25">
        <f t="shared" ref="FM17" si="124">SUM(FM5:FM16)</f>
        <v>552400804</v>
      </c>
      <c r="FN17" s="25">
        <f t="shared" ref="FN17" si="125">SUM(FN5:FN16)</f>
        <v>407669084</v>
      </c>
      <c r="FO17" s="25">
        <f t="shared" ref="FO17" si="126">SUM(FO5:FO16)</f>
        <v>53071872</v>
      </c>
      <c r="FP17" s="39">
        <f>IF(SUM(FP4:FP16)=0,"",SUM(FP4:FP16)/COUNT(FP4:FP16))</f>
        <v>0.13009999999999999</v>
      </c>
      <c r="FQ17" s="25">
        <f>SUM(FQ5:FQ16)</f>
        <v>330</v>
      </c>
      <c r="FR17" s="25">
        <f t="shared" ref="FR17" si="127">SUM(FR5:FR16)</f>
        <v>692888315</v>
      </c>
      <c r="FS17" s="25">
        <f t="shared" ref="FS17" si="128">SUM(FS5:FS16)</f>
        <v>122</v>
      </c>
      <c r="FT17" s="25">
        <f t="shared" ref="FT17" si="129">SUM(FT5:FT16)</f>
        <v>288008338</v>
      </c>
      <c r="FU17" s="25">
        <f t="shared" ref="FU17" si="130">SUM(FU5:FU16)</f>
        <v>548</v>
      </c>
      <c r="FV17" s="25">
        <f t="shared" ref="FV17" si="131">SUM(FV5:FV16)</f>
        <v>957280781</v>
      </c>
      <c r="FW17" s="25">
        <f t="shared" ref="FW17" si="132">SUM(FW5:FW16)</f>
        <v>766945249</v>
      </c>
      <c r="FX17" s="25">
        <f t="shared" ref="FX17" si="133">SUM(FX5:FX16)</f>
        <v>98609395</v>
      </c>
      <c r="FY17" s="39">
        <f>IF(SUM(FY4:FY16)=0,"",SUM(FY4:FY16)/COUNT(FY4:FY16))</f>
        <v>0.12859999999999999</v>
      </c>
      <c r="FZ17" s="25">
        <f>SUM(FZ5:FZ16)</f>
        <v>305</v>
      </c>
      <c r="GA17" s="25">
        <f t="shared" ref="GA17" si="134">SUM(GA5:GA16)</f>
        <v>609741094</v>
      </c>
      <c r="GB17" s="25">
        <f t="shared" ref="GB17" si="135">SUM(GB5:GB16)</f>
        <v>146</v>
      </c>
      <c r="GC17" s="25">
        <f t="shared" ref="GC17" si="136">SUM(GC5:GC16)</f>
        <v>291379633</v>
      </c>
      <c r="GD17" s="25">
        <f t="shared" ref="GD17" si="137">SUM(GD5:GD16)</f>
        <v>707</v>
      </c>
      <c r="GE17" s="25">
        <f t="shared" ref="GE17" si="138">SUM(GE5:GE16)</f>
        <v>1275642242</v>
      </c>
      <c r="GF17" s="25">
        <f t="shared" ref="GF17" si="139">SUM(GF5:GF16)</f>
        <v>1111295846</v>
      </c>
      <c r="GG17" s="25">
        <f t="shared" ref="GG17" si="140">SUM(GG5:GG16)</f>
        <v>141979414</v>
      </c>
      <c r="GH17" s="39">
        <f>IF(SUM(GH4:GH16)=0,"",SUM(GH4:GH16)/COUNT(GH4:GH16))</f>
        <v>0.1278</v>
      </c>
      <c r="GI17" s="25">
        <f>SUM(GI5:GI16)</f>
        <v>280</v>
      </c>
      <c r="GJ17" s="25">
        <f t="shared" ref="GJ17" si="141">SUM(GJ5:GJ16)</f>
        <v>699384867</v>
      </c>
      <c r="GK17" s="25">
        <f t="shared" ref="GK17" si="142">SUM(GK5:GK16)</f>
        <v>121</v>
      </c>
      <c r="GL17" s="25">
        <f t="shared" ref="GL17" si="143">SUM(GL5:GL16)</f>
        <v>383696160</v>
      </c>
      <c r="GM17" s="25">
        <f t="shared" ref="GM17" si="144">SUM(GM5:GM16)</f>
        <v>866</v>
      </c>
      <c r="GN17" s="25">
        <f t="shared" ref="GN17" si="145">SUM(GN5:GN16)</f>
        <v>1591330949</v>
      </c>
      <c r="GO17" s="25">
        <f t="shared" ref="GO17" si="146">SUM(GO5:GO16)</f>
        <v>1420632653</v>
      </c>
      <c r="GP17" s="25">
        <f t="shared" ref="GP17" si="147">SUM(GP5:GP16)</f>
        <v>172471445</v>
      </c>
      <c r="GQ17" s="39">
        <f>IF(SUM(GQ4:GQ16)=0,"",SUM(GQ4:GQ16)/COUNT(GQ4:GQ16))</f>
        <v>0.12139999999999999</v>
      </c>
      <c r="GR17" s="25">
        <f>SUM(GR5:GR16)</f>
        <v>300</v>
      </c>
      <c r="GS17" s="25">
        <f t="shared" ref="GS17" si="148">SUM(GS5:GS16)</f>
        <v>808804204</v>
      </c>
      <c r="GT17" s="25">
        <f t="shared" ref="GT17" si="149">SUM(GT5:GT16)</f>
        <v>154</v>
      </c>
      <c r="GU17" s="25">
        <f t="shared" ref="GU17" si="150">SUM(GU5:GU16)</f>
        <v>570594884</v>
      </c>
      <c r="GV17" s="25">
        <f t="shared" ref="GV17" si="151">SUM(GV5:GV16)</f>
        <v>1012</v>
      </c>
      <c r="GW17" s="25">
        <f t="shared" ref="GW17" si="152">SUM(GW5:GW16)</f>
        <v>1829540269</v>
      </c>
      <c r="GX17" s="25">
        <f t="shared" ref="GX17" si="153">SUM(GX5:GX16)</f>
        <v>1702191769</v>
      </c>
      <c r="GY17" s="25">
        <f t="shared" ref="GY17" si="154">SUM(GY5:GY16)</f>
        <v>198919443</v>
      </c>
      <c r="GZ17" s="39">
        <f>IF(SUM(GZ4:GZ16)=0,"",SUM(GZ4:GZ16)/COUNT(GZ4:GZ16))</f>
        <v>0.1169</v>
      </c>
      <c r="HA17" s="25">
        <f>SUM(HA5:HA16)</f>
        <v>530</v>
      </c>
      <c r="HB17" s="25">
        <f t="shared" ref="HB17" si="155">SUM(HB5:HB16)</f>
        <v>1177907531</v>
      </c>
      <c r="HC17" s="25">
        <f t="shared" ref="HC17" si="156">SUM(HC5:HC16)</f>
        <v>205</v>
      </c>
      <c r="HD17" s="25">
        <f t="shared" ref="HD17" si="157">SUM(HD5:HD16)</f>
        <v>596614875</v>
      </c>
      <c r="HE17" s="25">
        <f t="shared" ref="HE17" si="158">SUM(HE5:HE16)</f>
        <v>1337</v>
      </c>
      <c r="HF17" s="25">
        <f t="shared" ref="HF17" si="159">SUM(HF5:HF16)</f>
        <v>2410832925</v>
      </c>
      <c r="HG17" s="25">
        <f t="shared" ref="HG17" si="160">SUM(HG5:HG16)</f>
        <v>2058828785</v>
      </c>
      <c r="HH17" s="25">
        <f t="shared" ref="HH17" si="161">SUM(HH5:HH16)</f>
        <v>224995594</v>
      </c>
      <c r="HI17" s="39">
        <f>IF(SUM(HI4:HI16)=0,"",SUM(HI4:HI16)/COUNT(HI4:HI16))</f>
        <v>0.10929999999999999</v>
      </c>
      <c r="HJ17" s="25">
        <f>SUM(HJ5:HJ16)</f>
        <v>518</v>
      </c>
      <c r="HK17" s="25">
        <f t="shared" ref="HK17" si="162">SUM(HK5:HK16)</f>
        <v>1238129462</v>
      </c>
      <c r="HL17" s="25">
        <f t="shared" ref="HL17" si="163">SUM(HL5:HL16)</f>
        <v>239</v>
      </c>
      <c r="HM17" s="25">
        <f t="shared" ref="HM17" si="164">SUM(HM5:HM16)</f>
        <v>814220561</v>
      </c>
      <c r="HN17" s="25">
        <f t="shared" ref="HN17" si="165">SUM(HN5:HN16)</f>
        <v>1616</v>
      </c>
      <c r="HO17" s="25">
        <f t="shared" ref="HO17" si="166">SUM(HO5:HO16)</f>
        <v>2834741826</v>
      </c>
      <c r="HP17" s="25">
        <f t="shared" ref="HP17" si="167">SUM(HP5:HP16)</f>
        <v>2654208728</v>
      </c>
      <c r="HQ17" s="25">
        <f t="shared" ref="HQ17" si="168">SUM(HQ5:HQ16)</f>
        <v>274871952</v>
      </c>
      <c r="HR17" s="39">
        <f>IF(SUM(HR4:HR16)=0,"",SUM(HR4:HR16)/COUNT(HR4:HR16))</f>
        <v>0.1036</v>
      </c>
      <c r="HS17" s="25">
        <f>SUM(HS5:HS16)</f>
        <v>463</v>
      </c>
      <c r="HT17" s="25">
        <f t="shared" ref="HT17" si="169">SUM(HT5:HT16)</f>
        <v>1132117109</v>
      </c>
      <c r="HU17" s="25">
        <f t="shared" ref="HU17" si="170">SUM(HU5:HU16)</f>
        <v>287</v>
      </c>
      <c r="HV17" s="25">
        <f t="shared" ref="HV17" si="171">SUM(HV5:HV16)</f>
        <v>888597553</v>
      </c>
      <c r="HW17" s="25">
        <f t="shared" ref="HW17" si="172">SUM(HW5:HW16)</f>
        <v>1792</v>
      </c>
      <c r="HX17" s="25">
        <f t="shared" ref="HX17" si="173">SUM(HX5:HX16)</f>
        <v>3078261382</v>
      </c>
      <c r="HY17" s="25">
        <f t="shared" ref="HY17" si="174">SUM(HY5:HY16)</f>
        <v>2982811137</v>
      </c>
      <c r="HZ17" s="25">
        <f>SUM(HZ5:HZ16)</f>
        <v>300941568</v>
      </c>
      <c r="IA17" s="39">
        <f>IF(SUM(IA4:IA16)=0,"",SUM(IA4:IA16)/COUNT(IA4:IA16))</f>
        <v>0.11073333333333334</v>
      </c>
      <c r="IB17" s="25">
        <f>SUM(IB5:IB16)</f>
        <v>569</v>
      </c>
      <c r="IC17" s="25">
        <f t="shared" ref="IC17" si="175">SUM(IC5:IC16)</f>
        <v>1411140000</v>
      </c>
      <c r="ID17" s="25">
        <f t="shared" ref="ID17" si="176">SUM(ID5:ID16)</f>
        <v>348</v>
      </c>
      <c r="IE17" s="25">
        <f t="shared" ref="IE17" si="177">SUM(IE5:IE16)</f>
        <v>1000618293</v>
      </c>
      <c r="IF17" s="25">
        <f t="shared" ref="IF17" si="178">SUM(IF5:IF16)</f>
        <v>2013</v>
      </c>
      <c r="IG17" s="25">
        <f t="shared" ref="IG17" si="179">SUM(IG5:IG16)</f>
        <v>3488783089</v>
      </c>
      <c r="IH17" s="25">
        <f t="shared" ref="IH17" si="180">SUM(IH5:IH16)</f>
        <v>3259869106</v>
      </c>
      <c r="II17" s="25">
        <f t="shared" ref="II17" si="181">SUM(II5:II16)</f>
        <v>319532962</v>
      </c>
      <c r="IJ17" s="39">
        <f>IF(SUM(IJ4:IJ16)=0,"",SUM(IJ4:IJ16)/COUNT(IJ4:IJ16))</f>
        <v>0.10031428571428572</v>
      </c>
      <c r="IK17" s="25">
        <f>SUM(IK5:IK16)</f>
        <v>769</v>
      </c>
      <c r="IL17" s="25">
        <f t="shared" ref="IL17" si="182">SUM(IL5:IL16)</f>
        <v>1986548000</v>
      </c>
      <c r="IM17" s="25">
        <f t="shared" ref="IM17" si="183">SUM(IM5:IM16)</f>
        <v>347</v>
      </c>
      <c r="IN17" s="25">
        <f t="shared" ref="IN17" si="184">SUM(IN5:IN16)</f>
        <v>1190106226</v>
      </c>
      <c r="IO17" s="25">
        <f t="shared" ref="IO17" si="185">SUM(IO5:IO16)</f>
        <v>2435</v>
      </c>
      <c r="IP17" s="25">
        <f t="shared" ref="IP17" si="186">SUM(IP5:IP16)</f>
        <v>4285224863</v>
      </c>
      <c r="IQ17" s="25">
        <f t="shared" ref="IQ17" si="187">SUM(IQ5:IQ16)</f>
        <v>3913350026</v>
      </c>
      <c r="IR17" s="25">
        <f t="shared" ref="IR17" si="188">SUM(IR5:IR16)</f>
        <v>373607769</v>
      </c>
      <c r="IS17" s="39">
        <f>IF(SUM(IS4:IS16)=0,"",SUM(IS4:IS16)/COUNT(IS4:IS16))</f>
        <v>9.9971428571428572E-2</v>
      </c>
      <c r="IT17" s="25">
        <f>SUM(IT5:IT16)</f>
        <v>869</v>
      </c>
      <c r="IU17" s="25">
        <f t="shared" ref="IU17" si="189">SUM(IU5:IU16)</f>
        <v>2158395000</v>
      </c>
      <c r="IV17" s="25">
        <f t="shared" ref="IV17" si="190">SUM(IV5:IV16)</f>
        <v>472</v>
      </c>
      <c r="IW17" s="25">
        <f t="shared" ref="IW17" si="191">SUM(IW5:IW16)</f>
        <v>1410748216</v>
      </c>
      <c r="IX17" s="25">
        <f t="shared" ref="IX17" si="192">SUM(IX5:IX16)</f>
        <v>2832</v>
      </c>
      <c r="IY17" s="25">
        <f t="shared" ref="IY17" si="193">SUM(IY5:IY16)</f>
        <v>5032871647</v>
      </c>
      <c r="IZ17" s="25">
        <f t="shared" ref="IZ17" si="194">SUM(IZ5:IZ16)</f>
        <v>4648992781</v>
      </c>
      <c r="JA17" s="25">
        <f t="shared" ref="JA17" si="195">SUM(JA5:JA16)</f>
        <v>439406450</v>
      </c>
      <c r="JB17" s="39">
        <f>IF(SUM(JB4:JB16)=0,"",SUM(JB4:JB16)/COUNT(JB4:JB16))</f>
        <v>9.9657142857142861E-2</v>
      </c>
      <c r="JC17" s="25">
        <f>SUM(JC5:JC16)</f>
        <v>992</v>
      </c>
      <c r="JD17" s="25">
        <f t="shared" ref="JD17" si="196">SUM(JD5:JD16)</f>
        <v>2468746012</v>
      </c>
      <c r="JE17" s="25">
        <f t="shared" ref="JE17" si="197">SUM(JE5:JE16)</f>
        <v>583</v>
      </c>
      <c r="JF17" s="25">
        <f t="shared" ref="JF17" si="198">SUM(JF5:JF16)</f>
        <v>1714510267</v>
      </c>
      <c r="JG17" s="25">
        <f t="shared" ref="JG17" si="199">SUM(JG5:JG16)</f>
        <v>3241</v>
      </c>
      <c r="JH17" s="25">
        <f t="shared" ref="JH17" si="200">SUM(JH5:JH16)</f>
        <v>5787107392</v>
      </c>
      <c r="JI17" s="25">
        <f t="shared" ref="JI17" si="201">SUM(JI5:JI16)</f>
        <v>5428773544</v>
      </c>
      <c r="JJ17" s="25">
        <f t="shared" ref="JJ17" si="202">SUM(JJ5:JJ16)</f>
        <v>507237804</v>
      </c>
      <c r="JK17" s="39">
        <f>IF(SUM(JK4:JK16)=0,"",SUM(JK4:JK16)/COUNT(JK4:JK16))</f>
        <v>0.10582857142857142</v>
      </c>
      <c r="JL17" s="25">
        <f>SUM(JL5:JL16)</f>
        <v>1021</v>
      </c>
      <c r="JM17" s="25">
        <f t="shared" ref="JM17" si="203">SUM(JM5:JM16)</f>
        <v>2451583662</v>
      </c>
      <c r="JN17" s="25">
        <f t="shared" ref="JN17" si="204">SUM(JN5:JN16)</f>
        <v>598</v>
      </c>
      <c r="JO17" s="25">
        <f t="shared" ref="JO17" si="205">SUM(JO5:JO16)</f>
        <v>1890840978</v>
      </c>
      <c r="JP17" s="25">
        <f t="shared" ref="JP17" si="206">SUM(JP5:JP16)</f>
        <v>3664</v>
      </c>
      <c r="JQ17" s="25">
        <f t="shared" ref="JQ17" si="207">SUM(JQ5:JQ16)</f>
        <v>6347850076</v>
      </c>
      <c r="JR17" s="25">
        <f t="shared" ref="JR17" si="208">SUM(JR5:JR16)</f>
        <v>6145786716</v>
      </c>
      <c r="JS17" s="25">
        <f t="shared" ref="JS17" si="209">SUM(JS5:JS16)</f>
        <v>571382596</v>
      </c>
      <c r="JT17" s="39">
        <f>IF(SUM(JT4:JT16)=0,"",SUM(JT4:JT16)/COUNT(JT4:JT16))</f>
        <v>0.10567142857142856</v>
      </c>
      <c r="JU17" s="25">
        <f>SUM(JU5:JU16)</f>
        <v>920</v>
      </c>
      <c r="JV17" s="25">
        <f t="shared" ref="JV17" si="210">SUM(JV5:JV16)</f>
        <v>2163663000</v>
      </c>
      <c r="JW17" s="25">
        <f t="shared" ref="JW17" si="211">SUM(JW5:JW16)</f>
        <v>664</v>
      </c>
      <c r="JX17" s="25">
        <f t="shared" ref="JX17" si="212">SUM(JX5:JX16)</f>
        <v>1965867146</v>
      </c>
      <c r="JY17" s="25">
        <f t="shared" ref="JY17" si="213">SUM(JY5:JY16)</f>
        <v>3920</v>
      </c>
      <c r="JZ17" s="25">
        <f t="shared" ref="JZ17" si="214">SUM(JZ5:JZ16)</f>
        <v>6545645930</v>
      </c>
      <c r="KA17" s="25">
        <f t="shared" ref="KA17" si="215">SUM(KA5:KA16)</f>
        <v>6482421115</v>
      </c>
      <c r="KB17" s="25">
        <f t="shared" ref="KB17" si="216">SUM(KB5:KB16)</f>
        <v>601001328</v>
      </c>
      <c r="KC17" s="39">
        <f>IF(SUM(KC4:KC16)=0,"",SUM(KC4:KC16)/COUNT(KC4:KC16))</f>
        <v>0.10557142857142858</v>
      </c>
      <c r="KD17" s="25">
        <f>SUM(KD5:KD16)</f>
        <v>775</v>
      </c>
      <c r="KE17" s="25">
        <f t="shared" ref="KE17" si="217">SUM(KE5:KE16)</f>
        <v>1806140000</v>
      </c>
      <c r="KF17" s="25">
        <f t="shared" ref="KF17" si="218">SUM(KF5:KF16)</f>
        <v>756</v>
      </c>
      <c r="KG17" s="25">
        <f t="shared" ref="KG17" si="219">SUM(KG5:KG16)</f>
        <v>2019416811</v>
      </c>
      <c r="KH17" s="25">
        <f t="shared" ref="KH17" si="220">SUM(KH5:KH16)</f>
        <v>3939</v>
      </c>
      <c r="KI17" s="25">
        <f t="shared" ref="KI17" si="221">SUM(KI5:KI16)</f>
        <v>6332369119</v>
      </c>
      <c r="KJ17" s="25">
        <f t="shared" ref="KJ17" si="222">SUM(KJ5:KJ16)</f>
        <v>6476089445</v>
      </c>
      <c r="KK17" s="25">
        <f t="shared" ref="KK17" si="223">SUM(KK5:KK16)</f>
        <v>605443270</v>
      </c>
      <c r="KL17" s="39">
        <f>IF(SUM(KL4:KL16)=0,"",SUM(KL4:KL16)/COUNT(KL4:KL16))</f>
        <v>0.10752857142857143</v>
      </c>
      <c r="KM17" s="25">
        <f>SUM(KM5:KM16)</f>
        <v>767</v>
      </c>
      <c r="KN17" s="25">
        <f t="shared" ref="KN17" si="224">SUM(KN5:KN16)</f>
        <v>1672930000</v>
      </c>
      <c r="KO17" s="25">
        <f t="shared" ref="KO17" si="225">SUM(KO5:KO16)</f>
        <v>748</v>
      </c>
      <c r="KP17" s="25">
        <f t="shared" ref="KP17" si="226">SUM(KP5:KP16)</f>
        <v>1966035388</v>
      </c>
      <c r="KQ17" s="25">
        <f t="shared" ref="KQ17" si="227">SUM(KQ5:KQ16)</f>
        <v>3958</v>
      </c>
      <c r="KR17" s="25">
        <f t="shared" ref="KR17" si="228">SUM(KR5:KR16)</f>
        <v>6039263731</v>
      </c>
      <c r="KS17" s="25">
        <f t="shared" ref="KS17" si="229">SUM(KS5:KS16)</f>
        <v>6200540526</v>
      </c>
      <c r="KT17" s="25">
        <f t="shared" ref="KT17" si="230">SUM(KT5:KT16)</f>
        <v>576126751</v>
      </c>
      <c r="KU17" s="39">
        <f>IF(SUM(KU4:KU16)=0,"",SUM(KU4:KU16)/COUNT(KU4:KU16))</f>
        <v>0.10317142857142858</v>
      </c>
      <c r="KV17" s="25">
        <f>SUM(KV5:KV16)</f>
        <v>752</v>
      </c>
      <c r="KW17" s="25">
        <f t="shared" ref="KW17" si="231">SUM(KW5:KW16)</f>
        <v>1619084000</v>
      </c>
      <c r="KX17" s="25">
        <f t="shared" ref="KX17" si="232">SUM(KX5:KX16)</f>
        <v>909</v>
      </c>
      <c r="KY17" s="25">
        <f t="shared" ref="KY17" si="233">SUM(KY5:KY16)</f>
        <v>2006238506</v>
      </c>
      <c r="KZ17" s="25">
        <f t="shared" ref="KZ17" si="234">SUM(KZ5:KZ16)</f>
        <v>3801</v>
      </c>
      <c r="LA17" s="25">
        <f t="shared" ref="LA17" si="235">SUM(LA5:LA16)</f>
        <v>5652109225</v>
      </c>
      <c r="LB17" s="25">
        <f t="shared" ref="LB17" si="236">SUM(LB5:LB16)</f>
        <v>5826899632</v>
      </c>
      <c r="LC17" s="25">
        <f t="shared" ref="LC17" si="237">SUM(LC5:LC16)</f>
        <v>538276228</v>
      </c>
      <c r="LD17" s="39">
        <f>IF(SUM(LD4:LD16)=0,"",SUM(LD4:LD16)/COUNT(LD4:LD16))</f>
        <v>0.10205000000000002</v>
      </c>
      <c r="LE17" s="25">
        <f>SUM(LE5:LE16)</f>
        <v>488</v>
      </c>
      <c r="LF17" s="25">
        <f t="shared" ref="LF17" si="238">SUM(LF5:LF16)</f>
        <v>938639869</v>
      </c>
      <c r="LG17" s="25">
        <f t="shared" ref="LG17" si="239">SUM(LG5:LG16)</f>
        <v>756</v>
      </c>
      <c r="LH17" s="25">
        <f t="shared" ref="LH17" si="240">SUM(LH5:LH16)</f>
        <v>1827839549</v>
      </c>
      <c r="LI17" s="25">
        <f t="shared" ref="LI17" si="241">SUM(LI5:LI16)</f>
        <v>3533</v>
      </c>
      <c r="LJ17" s="25">
        <f t="shared" ref="LJ17" si="242">SUM(LJ5:LJ16)</f>
        <v>4762909545</v>
      </c>
      <c r="LK17" s="25">
        <f t="shared" ref="LK17" si="243">SUM(LK5:LK16)</f>
        <v>5188126694</v>
      </c>
      <c r="LL17" s="25">
        <f t="shared" ref="LL17" si="244">SUM(LL5:LL16)</f>
        <v>480817670</v>
      </c>
      <c r="LM17" s="39">
        <f>IF(SUM(LM4:LM16)=0,"",SUM(LM4:LM16)/COUNT(LM4:LM16))</f>
        <v>0.1008</v>
      </c>
      <c r="LN17" s="25">
        <f>SUM(LN5:LN16)</f>
        <v>581</v>
      </c>
      <c r="LO17" s="25">
        <f t="shared" ref="LO17" si="245">SUM(LO5:LO16)</f>
        <v>936641171</v>
      </c>
      <c r="LP17" s="25">
        <f t="shared" ref="LP17" si="246">SUM(LP5:LP16)</f>
        <v>878</v>
      </c>
      <c r="LQ17" s="25">
        <f t="shared" ref="LQ17" si="247">SUM(LQ5:LQ16)</f>
        <v>1626496697</v>
      </c>
      <c r="LR17" s="25">
        <f t="shared" ref="LR17" si="248">SUM(LR5:LR16)</f>
        <v>3236</v>
      </c>
      <c r="LS17" s="25">
        <f t="shared" ref="LS17" si="249">SUM(LS5:LS16)</f>
        <v>4073054019</v>
      </c>
      <c r="LT17" s="25">
        <f t="shared" ref="LT17" si="250">SUM(LT5:LT16)</f>
        <v>4380516869</v>
      </c>
      <c r="LU17" s="25">
        <f t="shared" ref="LU17" si="251">SUM(LU5:LU16)</f>
        <v>402371628</v>
      </c>
      <c r="LV17" s="39">
        <f>IF(SUM(LV4:LV16)=0,"",SUM(LV4:LV16)/COUNT(LV4:LV16))</f>
        <v>9.6416666666666664E-2</v>
      </c>
      <c r="LW17" s="25">
        <f>SUM(LW5:LW16)</f>
        <v>777</v>
      </c>
      <c r="LX17" s="25">
        <f t="shared" ref="LX17" si="252">SUM(LX5:LX16)</f>
        <v>999680000</v>
      </c>
      <c r="LY17" s="25">
        <f t="shared" ref="LY17" si="253">SUM(LY5:LY16)</f>
        <v>801</v>
      </c>
      <c r="LZ17" s="25">
        <f t="shared" ref="LZ17" si="254">SUM(LZ5:LZ16)</f>
        <v>1344979388</v>
      </c>
      <c r="MA17" s="25">
        <f t="shared" ref="MA17" si="255">SUM(MA5:MA16)</f>
        <v>3212</v>
      </c>
      <c r="MB17" s="25">
        <f t="shared" ref="MB17" si="256">SUM(MB5:MB16)</f>
        <v>3727754631</v>
      </c>
      <c r="MC17" s="25">
        <f t="shared" ref="MC17" si="257">SUM(MC5:MC16)</f>
        <v>3909741335</v>
      </c>
      <c r="MD17" s="25">
        <f t="shared" ref="MD17" si="258">SUM(MD5:MD16)</f>
        <v>339296742</v>
      </c>
      <c r="ME17" s="39">
        <f>IF(SUM(ME4:ME16)=0,"",SUM(ME4:ME16)/COUNT(ME4:ME16))</f>
        <v>8.2075000000000009E-2</v>
      </c>
      <c r="MF17" s="25">
        <f>SUM(MF5:MF16)</f>
        <v>861</v>
      </c>
      <c r="MG17" s="25">
        <f t="shared" ref="MG17:MM17" si="259">SUM(MG5:MG16)</f>
        <v>892640000</v>
      </c>
      <c r="MH17" s="25">
        <f t="shared" si="259"/>
        <v>870</v>
      </c>
      <c r="MI17" s="25">
        <f t="shared" si="259"/>
        <v>1259466818</v>
      </c>
      <c r="MJ17" s="25">
        <f t="shared" si="259"/>
        <v>3203</v>
      </c>
      <c r="MK17" s="25">
        <f t="shared" si="259"/>
        <v>3360927813</v>
      </c>
      <c r="ML17" s="25">
        <f t="shared" si="259"/>
        <v>3411710784</v>
      </c>
      <c r="MM17" s="25">
        <f t="shared" si="259"/>
        <v>297121261</v>
      </c>
      <c r="MN17" s="39">
        <f>IF(SUM(MN4:MN16)=0,"",SUM(MN4:MN16)/COUNT(MN4:MN16))</f>
        <v>0.11595</v>
      </c>
      <c r="MO17" s="25">
        <f>SUM(MO5:MO16)</f>
        <v>649</v>
      </c>
      <c r="MP17" s="25">
        <f t="shared" ref="MP17:MV17" si="260">SUM(MP5:MP16)</f>
        <v>618050000</v>
      </c>
      <c r="MQ17" s="25">
        <f t="shared" si="260"/>
        <v>853</v>
      </c>
      <c r="MR17" s="25">
        <f t="shared" si="260"/>
        <v>1056658091</v>
      </c>
      <c r="MS17" s="25">
        <f t="shared" si="260"/>
        <v>2999</v>
      </c>
      <c r="MT17" s="25">
        <f t="shared" si="260"/>
        <v>2922319722</v>
      </c>
      <c r="MU17" s="25">
        <f t="shared" si="260"/>
        <v>3088122095</v>
      </c>
      <c r="MV17" s="25">
        <f t="shared" si="260"/>
        <v>279959333</v>
      </c>
      <c r="MW17" s="39">
        <f>IF(SUM(MW4:MW16)=0,"",SUM(MW4:MW16)/COUNT(MW4:MW16))</f>
        <v>8.1162499999999999E-2</v>
      </c>
      <c r="MX17" s="25">
        <f>SUM(MX5:MX16)</f>
        <v>475</v>
      </c>
      <c r="MY17" s="25">
        <f t="shared" ref="MY17:NE17" si="261">SUM(MY5:MY16)</f>
        <v>407680000</v>
      </c>
      <c r="MZ17" s="25">
        <f t="shared" si="261"/>
        <v>827</v>
      </c>
      <c r="NA17" s="25">
        <f t="shared" si="261"/>
        <v>897900564</v>
      </c>
      <c r="NB17" s="25">
        <f t="shared" si="261"/>
        <v>2647</v>
      </c>
      <c r="NC17" s="25">
        <f t="shared" si="261"/>
        <v>2432099158</v>
      </c>
      <c r="ND17" s="25">
        <f t="shared" si="261"/>
        <v>2534571456</v>
      </c>
      <c r="NE17" s="25">
        <f t="shared" si="261"/>
        <v>230536873</v>
      </c>
      <c r="NF17" s="39">
        <f>IF(SUM(NF4:NF16)=0,"",SUM(NF4:NF16)/COUNT(NF4:NF16))</f>
        <v>8.2762500000000003E-2</v>
      </c>
      <c r="NG17" s="25">
        <f>SUM(NG5:NG16)</f>
        <v>510</v>
      </c>
      <c r="NH17" s="25">
        <f t="shared" ref="NH17:NN17" si="262">SUM(NH5:NH16)</f>
        <v>476060000</v>
      </c>
      <c r="NI17" s="25">
        <f t="shared" si="262"/>
        <v>706</v>
      </c>
      <c r="NJ17" s="25">
        <f t="shared" si="262"/>
        <v>772838735</v>
      </c>
      <c r="NK17" s="25">
        <f t="shared" si="262"/>
        <v>2451</v>
      </c>
      <c r="NL17" s="25">
        <f t="shared" si="262"/>
        <v>2135320423</v>
      </c>
      <c r="NM17" s="25">
        <f t="shared" si="262"/>
        <v>2217776813</v>
      </c>
      <c r="NN17" s="25">
        <f t="shared" si="262"/>
        <v>198394773</v>
      </c>
      <c r="NO17" s="39">
        <f>IF(SUM(NO4:NO16)=0,"",SUM(NO4:NO16)/COUNT(NO4:NO16))</f>
        <v>8.1799999999999984E-2</v>
      </c>
      <c r="NP17" s="25">
        <f>SUM(NP5:NP16)</f>
        <v>443</v>
      </c>
      <c r="NQ17" s="25">
        <f t="shared" ref="NQ17:NW17" si="263">SUM(NQ5:NQ16)</f>
        <v>427660000</v>
      </c>
      <c r="NR17" s="25">
        <f t="shared" si="263"/>
        <v>633</v>
      </c>
      <c r="NS17" s="25">
        <f t="shared" si="263"/>
        <v>673942580</v>
      </c>
      <c r="NT17" s="25">
        <f t="shared" si="263"/>
        <v>2261</v>
      </c>
      <c r="NU17" s="25">
        <f t="shared" si="263"/>
        <v>1889037843</v>
      </c>
      <c r="NV17" s="25">
        <f t="shared" si="263"/>
        <v>1950340217</v>
      </c>
      <c r="NW17" s="25">
        <f t="shared" si="263"/>
        <v>170161742</v>
      </c>
      <c r="NX17" s="39">
        <f>IF(SUM(NX4:NX16)=0,"",SUM(NX4:NX16)/COUNT(NX4:NX16))</f>
        <v>7.6874999999999999E-2</v>
      </c>
      <c r="NY17" s="25">
        <f>SUM(NY5:NY16)</f>
        <v>344</v>
      </c>
      <c r="NZ17" s="25">
        <f t="shared" ref="NZ17:OF17" si="264">SUM(NZ5:NZ16)</f>
        <v>349980000</v>
      </c>
      <c r="OA17" s="25">
        <f t="shared" si="264"/>
        <v>603</v>
      </c>
      <c r="OB17" s="25">
        <f t="shared" si="264"/>
        <v>602964348</v>
      </c>
      <c r="OC17" s="25">
        <f t="shared" si="264"/>
        <v>2002</v>
      </c>
      <c r="OD17" s="25">
        <f t="shared" si="264"/>
        <v>1636053495</v>
      </c>
      <c r="OE17" s="25">
        <f t="shared" si="264"/>
        <v>1713408287</v>
      </c>
      <c r="OF17" s="25">
        <f t="shared" si="264"/>
        <v>145702971</v>
      </c>
      <c r="OG17" s="39">
        <f>IF(SUM(OG4:OG16)=0,"",SUM(OG4:OG16)/COUNT(OG4:OG16))</f>
        <v>7.5437500000000005E-2</v>
      </c>
      <c r="OH17" s="25">
        <f>SUM(OH5:OH16)</f>
        <v>310</v>
      </c>
      <c r="OI17" s="25">
        <f t="shared" ref="OI17:OO17" si="265">SUM(OI5:OI16)</f>
        <v>279110000</v>
      </c>
      <c r="OJ17" s="25">
        <f t="shared" si="265"/>
        <v>548</v>
      </c>
      <c r="OK17" s="25">
        <f t="shared" si="265"/>
        <v>518691418</v>
      </c>
      <c r="OL17" s="25">
        <f t="shared" si="265"/>
        <v>1764</v>
      </c>
      <c r="OM17" s="25">
        <f t="shared" si="265"/>
        <v>1396472077</v>
      </c>
      <c r="ON17" s="25">
        <f t="shared" si="265"/>
        <v>1495588762</v>
      </c>
      <c r="OO17" s="25">
        <f t="shared" si="265"/>
        <v>123160091</v>
      </c>
      <c r="OP17" s="39">
        <f>IF(SUM(OP4:OP16)=0,"",SUM(OP4:OP16)/COUNT(OP4:OP16))</f>
        <v>7.0275000000000004E-2</v>
      </c>
      <c r="OQ17" s="25">
        <f>SUM(OQ5:OQ16)</f>
        <v>332</v>
      </c>
      <c r="OR17" s="25">
        <f t="shared" ref="OR17:OX17" si="266">SUM(OR5:OR16)</f>
        <v>377250000</v>
      </c>
      <c r="OS17" s="25">
        <f t="shared" si="266"/>
        <v>511</v>
      </c>
      <c r="OT17" s="25">
        <f t="shared" si="266"/>
        <v>479416340</v>
      </c>
      <c r="OU17" s="25">
        <f t="shared" si="266"/>
        <v>1585</v>
      </c>
      <c r="OV17" s="25">
        <f t="shared" si="266"/>
        <v>1294305737</v>
      </c>
      <c r="OW17" s="25">
        <f t="shared" si="266"/>
        <v>1327911830</v>
      </c>
      <c r="OX17" s="25">
        <f t="shared" si="266"/>
        <v>109797311</v>
      </c>
      <c r="OY17" s="39">
        <f>IF(SUM(OY4:OY16)=0,"",SUM(OY4:OY16)/COUNT(OY4:OY16))</f>
        <v>6.8437499999999998E-2</v>
      </c>
      <c r="OZ17" s="27">
        <f>SUM(OZ5:OZ16)</f>
        <v>0</v>
      </c>
      <c r="PA17" s="27">
        <f t="shared" ref="PA17:PG17" si="267">SUM(PA5:PA16)</f>
        <v>0</v>
      </c>
      <c r="PB17" s="27">
        <f t="shared" si="267"/>
        <v>0</v>
      </c>
      <c r="PC17" s="27">
        <f t="shared" si="267"/>
        <v>0</v>
      </c>
      <c r="PD17" s="27">
        <f t="shared" si="267"/>
        <v>0</v>
      </c>
      <c r="PE17" s="27">
        <f t="shared" si="267"/>
        <v>0</v>
      </c>
      <c r="PF17" s="27">
        <f t="shared" si="267"/>
        <v>0</v>
      </c>
      <c r="PG17" s="27">
        <f t="shared" si="267"/>
        <v>0</v>
      </c>
      <c r="PH17" s="28" t="str">
        <f>IF(SUM(PH4:PH16)=0,"",SUM(PH4:PH16)/COUNT(PH4:PH16))</f>
        <v/>
      </c>
    </row>
    <row r="18" spans="1:424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  <c r="K18" s="24"/>
      <c r="L18" s="24"/>
      <c r="M18" s="24"/>
      <c r="N18" s="24"/>
      <c r="O18" s="24"/>
      <c r="P18" s="24"/>
      <c r="Q18" s="24"/>
      <c r="R18" s="24"/>
      <c r="S18" s="38"/>
      <c r="T18" s="24"/>
      <c r="U18" s="24"/>
      <c r="V18" s="24"/>
      <c r="W18" s="24"/>
      <c r="X18" s="24"/>
      <c r="Y18" s="24"/>
      <c r="Z18" s="24"/>
      <c r="AA18" s="24"/>
      <c r="AB18" s="38"/>
      <c r="AC18" s="24"/>
      <c r="AD18" s="24"/>
      <c r="AE18" s="24"/>
      <c r="AF18" s="24"/>
      <c r="AG18" s="24"/>
      <c r="AH18" s="24"/>
      <c r="AI18" s="24"/>
      <c r="AJ18" s="24"/>
      <c r="AK18" s="38"/>
      <c r="AL18" s="24"/>
      <c r="AM18" s="24"/>
      <c r="AN18" s="24"/>
      <c r="AO18" s="24"/>
      <c r="AP18" s="24"/>
      <c r="AQ18" s="24"/>
      <c r="AR18" s="24"/>
      <c r="AS18" s="24"/>
      <c r="AT18" s="38"/>
      <c r="AU18" s="24"/>
      <c r="AV18" s="24"/>
      <c r="AW18" s="24"/>
      <c r="AX18" s="24"/>
      <c r="AY18" s="24"/>
      <c r="AZ18" s="24"/>
      <c r="BA18" s="24"/>
      <c r="BB18" s="24"/>
      <c r="BC18" s="38"/>
      <c r="BD18" s="24"/>
      <c r="BE18" s="24"/>
      <c r="BF18" s="24"/>
      <c r="BG18" s="24"/>
      <c r="BH18" s="24"/>
      <c r="BI18" s="24"/>
      <c r="BJ18" s="24"/>
      <c r="BK18" s="24"/>
      <c r="BL18" s="38"/>
      <c r="BM18" s="24"/>
      <c r="BN18" s="24"/>
      <c r="BO18" s="24"/>
      <c r="BP18" s="24"/>
      <c r="BQ18" s="24"/>
      <c r="BR18" s="24"/>
      <c r="BS18" s="24"/>
      <c r="BT18" s="24"/>
      <c r="BU18" s="38"/>
      <c r="BV18" s="24"/>
      <c r="BW18" s="24"/>
      <c r="BX18" s="24"/>
      <c r="BY18" s="24"/>
      <c r="BZ18" s="24"/>
      <c r="CA18" s="24"/>
      <c r="CB18" s="24"/>
      <c r="CC18" s="24"/>
      <c r="CD18" s="38"/>
      <c r="CE18" s="24"/>
      <c r="CF18" s="24"/>
      <c r="CG18" s="24"/>
      <c r="CH18" s="24"/>
      <c r="CI18" s="24"/>
      <c r="CJ18" s="24">
        <v>1058000</v>
      </c>
      <c r="CK18" s="24"/>
      <c r="CL18" s="24"/>
      <c r="CM18" s="38"/>
      <c r="CN18" s="24"/>
      <c r="CO18" s="24"/>
      <c r="CP18" s="24"/>
      <c r="CQ18" s="24"/>
      <c r="CR18" s="24"/>
      <c r="CS18" s="24">
        <v>2119000</v>
      </c>
      <c r="CT18" s="24"/>
      <c r="CU18" s="24"/>
      <c r="CV18" s="38"/>
      <c r="CW18" s="24"/>
      <c r="CX18" s="24"/>
      <c r="CY18" s="24"/>
      <c r="CZ18" s="24"/>
      <c r="DA18" s="24"/>
      <c r="DB18" s="24">
        <v>44590000</v>
      </c>
      <c r="DC18" s="24"/>
      <c r="DD18" s="24"/>
      <c r="DE18" s="38"/>
      <c r="DF18" s="24">
        <v>214</v>
      </c>
      <c r="DG18" s="24">
        <v>34713000</v>
      </c>
      <c r="DH18" s="24">
        <v>145</v>
      </c>
      <c r="DI18" s="24">
        <v>33747000</v>
      </c>
      <c r="DJ18" s="24">
        <v>261</v>
      </c>
      <c r="DK18" s="24">
        <v>45556000</v>
      </c>
      <c r="DL18" s="24">
        <v>45073000</v>
      </c>
      <c r="DM18" s="24">
        <v>4188000</v>
      </c>
      <c r="DN18" s="38">
        <v>9.2899999999999996E-2</v>
      </c>
      <c r="DO18" s="24">
        <v>395</v>
      </c>
      <c r="DP18" s="24">
        <v>61154602</v>
      </c>
      <c r="DQ18" s="24">
        <v>184</v>
      </c>
      <c r="DR18" s="24">
        <v>43361282</v>
      </c>
      <c r="DS18" s="24">
        <v>472</v>
      </c>
      <c r="DT18" s="24">
        <v>63350053</v>
      </c>
      <c r="DU18" s="24">
        <v>51723389</v>
      </c>
      <c r="DV18" s="24">
        <v>9290556</v>
      </c>
      <c r="DW18" s="38">
        <v>0.17960000000000001</v>
      </c>
      <c r="DX18" s="24">
        <v>3141</v>
      </c>
      <c r="DY18" s="24">
        <v>113875457</v>
      </c>
      <c r="DZ18" s="24">
        <v>2744</v>
      </c>
      <c r="EA18" s="24">
        <v>86749291</v>
      </c>
      <c r="EB18" s="24">
        <v>869</v>
      </c>
      <c r="EC18" s="24">
        <v>90476219</v>
      </c>
      <c r="ED18" s="24">
        <v>77094203</v>
      </c>
      <c r="EE18" s="24">
        <v>12213345</v>
      </c>
      <c r="EF18" s="38">
        <v>0.15840000000000001</v>
      </c>
      <c r="EG18" s="24">
        <v>2040</v>
      </c>
      <c r="EH18" s="24">
        <v>103225611</v>
      </c>
      <c r="EI18" s="24">
        <v>2251</v>
      </c>
      <c r="EJ18" s="24">
        <v>97872821</v>
      </c>
      <c r="EK18" s="24">
        <v>658</v>
      </c>
      <c r="EL18" s="24">
        <v>95829009</v>
      </c>
      <c r="EM18" s="24">
        <v>86208801</v>
      </c>
      <c r="EN18" s="24">
        <v>10817710</v>
      </c>
      <c r="EO18" s="38">
        <v>0.12540000000000001</v>
      </c>
      <c r="EP18" s="24">
        <v>2993</v>
      </c>
      <c r="EQ18" s="24">
        <v>163199099</v>
      </c>
      <c r="ER18" s="24">
        <v>2569</v>
      </c>
      <c r="ES18" s="24">
        <v>120809493</v>
      </c>
      <c r="ET18" s="24">
        <v>1109</v>
      </c>
      <c r="EU18" s="24">
        <v>138218615</v>
      </c>
      <c r="EV18" s="24">
        <v>123879938</v>
      </c>
      <c r="EW18" s="24">
        <v>16943445</v>
      </c>
      <c r="EX18" s="38">
        <v>0.13669999999999999</v>
      </c>
      <c r="EY18" s="24">
        <v>2038</v>
      </c>
      <c r="EZ18" s="24">
        <v>150207657</v>
      </c>
      <c r="FA18" s="24">
        <v>2294</v>
      </c>
      <c r="FB18" s="24">
        <v>133875766</v>
      </c>
      <c r="FC18" s="24">
        <v>853</v>
      </c>
      <c r="FD18" s="24">
        <v>154550506</v>
      </c>
      <c r="FE18" s="24">
        <v>144146067</v>
      </c>
      <c r="FF18" s="24">
        <v>17103416</v>
      </c>
      <c r="FG18" s="38">
        <v>0.1186</v>
      </c>
      <c r="FH18" s="24">
        <v>2120</v>
      </c>
      <c r="FI18" s="24">
        <v>140682085</v>
      </c>
      <c r="FJ18" s="24">
        <v>2117</v>
      </c>
      <c r="FK18" s="24">
        <v>139217058</v>
      </c>
      <c r="FL18" s="24">
        <v>856</v>
      </c>
      <c r="FM18" s="24">
        <v>156015533</v>
      </c>
      <c r="FN18" s="24">
        <v>154361505</v>
      </c>
      <c r="FO18" s="24">
        <v>14197863</v>
      </c>
      <c r="FP18" s="38">
        <v>9.1899999999999996E-2</v>
      </c>
      <c r="FQ18" s="24">
        <v>1840</v>
      </c>
      <c r="FR18" s="24">
        <v>110260052</v>
      </c>
      <c r="FS18" s="24">
        <v>1873</v>
      </c>
      <c r="FT18" s="24">
        <v>128027995</v>
      </c>
      <c r="FU18" s="24">
        <v>823</v>
      </c>
      <c r="FV18" s="24">
        <v>138247590</v>
      </c>
      <c r="FW18" s="24">
        <v>149454101</v>
      </c>
      <c r="FX18" s="24">
        <v>11915702</v>
      </c>
      <c r="FY18" s="38">
        <v>7.9699999999999993E-2</v>
      </c>
      <c r="FZ18" s="24">
        <v>1588</v>
      </c>
      <c r="GA18" s="24">
        <v>72656996</v>
      </c>
      <c r="GB18" s="24">
        <v>1222</v>
      </c>
      <c r="GC18" s="24">
        <v>104083057</v>
      </c>
      <c r="GD18" s="24">
        <v>1189</v>
      </c>
      <c r="GE18" s="24">
        <v>106821529</v>
      </c>
      <c r="GF18" s="24">
        <v>118623463</v>
      </c>
      <c r="GG18" s="24">
        <v>9781002</v>
      </c>
      <c r="GH18" s="38">
        <v>8.2500000000000004E-2</v>
      </c>
      <c r="GI18" s="24">
        <v>1356</v>
      </c>
      <c r="GJ18" s="24">
        <v>71975832</v>
      </c>
      <c r="GK18" s="24">
        <v>2002</v>
      </c>
      <c r="GL18" s="24">
        <v>81002796</v>
      </c>
      <c r="GM18" s="24">
        <v>543</v>
      </c>
      <c r="GN18" s="24">
        <v>97794565</v>
      </c>
      <c r="GO18" s="24">
        <v>99931141</v>
      </c>
      <c r="GP18" s="24">
        <v>10598578</v>
      </c>
      <c r="GQ18" s="38">
        <v>0.1061</v>
      </c>
      <c r="GR18" s="24">
        <v>1167</v>
      </c>
      <c r="GS18" s="24">
        <v>65297644</v>
      </c>
      <c r="GT18" s="24">
        <v>1227</v>
      </c>
      <c r="GU18" s="24">
        <v>67758014</v>
      </c>
      <c r="GV18" s="24">
        <v>483</v>
      </c>
      <c r="GW18" s="24">
        <v>95334195</v>
      </c>
      <c r="GX18" s="24">
        <v>96248302</v>
      </c>
      <c r="GY18" s="24">
        <v>8977840</v>
      </c>
      <c r="GZ18" s="38">
        <v>9.3299999999999994E-2</v>
      </c>
      <c r="HA18" s="24">
        <v>1005</v>
      </c>
      <c r="HB18" s="24">
        <v>51841399</v>
      </c>
      <c r="HC18" s="24">
        <v>1021</v>
      </c>
      <c r="HD18" s="24">
        <v>63219716</v>
      </c>
      <c r="HE18" s="24">
        <v>467</v>
      </c>
      <c r="HF18" s="24">
        <v>83955878</v>
      </c>
      <c r="HG18" s="24">
        <v>89674797</v>
      </c>
      <c r="HH18" s="24">
        <v>8892516</v>
      </c>
      <c r="HI18" s="38">
        <v>0.19189999999999999</v>
      </c>
      <c r="HJ18" s="24">
        <v>886</v>
      </c>
      <c r="HK18" s="24">
        <v>41557420</v>
      </c>
      <c r="HL18" s="24">
        <v>985</v>
      </c>
      <c r="HM18" s="24">
        <v>59941694</v>
      </c>
      <c r="HN18" s="24">
        <v>368</v>
      </c>
      <c r="HO18" s="24">
        <v>65571604</v>
      </c>
      <c r="HP18" s="24">
        <v>76158090</v>
      </c>
      <c r="HQ18" s="24">
        <v>7868764</v>
      </c>
      <c r="HR18" s="38">
        <v>8.4599999999999995E-2</v>
      </c>
      <c r="HS18" s="24">
        <v>33</v>
      </c>
      <c r="HT18" s="24">
        <v>5899124</v>
      </c>
      <c r="HU18" s="24">
        <v>75</v>
      </c>
      <c r="HV18" s="24">
        <v>11411108</v>
      </c>
      <c r="HW18" s="24">
        <v>73</v>
      </c>
      <c r="HX18" s="24">
        <v>7613000</v>
      </c>
      <c r="HY18" s="24">
        <v>10311807</v>
      </c>
      <c r="HZ18" s="24">
        <v>1467660</v>
      </c>
      <c r="IA18" s="38">
        <v>0.14230000000000001</v>
      </c>
      <c r="IB18" s="24">
        <v>8</v>
      </c>
      <c r="IC18" s="24">
        <v>1034942</v>
      </c>
      <c r="ID18" s="24">
        <v>54</v>
      </c>
      <c r="IE18" s="24">
        <v>6718842</v>
      </c>
      <c r="IF18" s="24">
        <v>27</v>
      </c>
      <c r="IG18" s="24">
        <v>1929100</v>
      </c>
      <c r="IH18" s="24">
        <v>4140270</v>
      </c>
      <c r="II18" s="24">
        <v>460552</v>
      </c>
      <c r="IJ18" s="38">
        <v>0.11119999999999999</v>
      </c>
      <c r="IK18" s="24">
        <v>8</v>
      </c>
      <c r="IL18" s="24">
        <v>1823660</v>
      </c>
      <c r="IM18" s="24">
        <v>27</v>
      </c>
      <c r="IN18" s="24">
        <v>2687960</v>
      </c>
      <c r="IO18" s="24">
        <v>8</v>
      </c>
      <c r="IP18" s="24">
        <v>1064800</v>
      </c>
      <c r="IQ18" s="24">
        <v>1707928</v>
      </c>
      <c r="IR18" s="24">
        <v>178623</v>
      </c>
      <c r="IS18" s="38">
        <v>0.1046</v>
      </c>
      <c r="IT18" s="24">
        <v>0</v>
      </c>
      <c r="IU18" s="24">
        <v>0</v>
      </c>
      <c r="IV18" s="24">
        <v>7</v>
      </c>
      <c r="IW18" s="24">
        <v>979200</v>
      </c>
      <c r="IX18" s="24">
        <v>1</v>
      </c>
      <c r="IY18" s="24">
        <v>85600</v>
      </c>
      <c r="IZ18" s="24">
        <v>365098</v>
      </c>
      <c r="JA18" s="24">
        <v>44922</v>
      </c>
      <c r="JB18" s="38">
        <v>0.123</v>
      </c>
      <c r="JC18" s="24">
        <v>0</v>
      </c>
      <c r="JD18" s="24">
        <v>0</v>
      </c>
      <c r="JE18" s="24">
        <v>1</v>
      </c>
      <c r="JF18" s="24">
        <v>85600</v>
      </c>
      <c r="JG18" s="24">
        <v>0</v>
      </c>
      <c r="JH18" s="24">
        <v>0</v>
      </c>
      <c r="JI18" s="24">
        <v>36967</v>
      </c>
      <c r="JJ18" s="24">
        <v>5379</v>
      </c>
      <c r="JK18" s="38">
        <v>0.14549999999999999</v>
      </c>
      <c r="JL18" s="24"/>
      <c r="JM18" s="24"/>
      <c r="JN18" s="24"/>
      <c r="JO18" s="24"/>
      <c r="JP18" s="24"/>
      <c r="JQ18" s="24"/>
      <c r="JR18" s="24"/>
      <c r="JS18" s="24"/>
      <c r="JT18" s="38"/>
      <c r="JU18" s="24"/>
      <c r="JV18" s="24"/>
      <c r="JW18" s="24"/>
      <c r="JX18" s="24"/>
      <c r="JY18" s="24"/>
      <c r="JZ18" s="24"/>
      <c r="KA18" s="24"/>
      <c r="KB18" s="24"/>
      <c r="KC18" s="38"/>
      <c r="KD18" s="24"/>
      <c r="KE18" s="24"/>
      <c r="KF18" s="24"/>
      <c r="KG18" s="24"/>
      <c r="KH18" s="24"/>
      <c r="KI18" s="24"/>
      <c r="KJ18" s="24"/>
      <c r="KK18" s="24"/>
      <c r="KL18" s="38"/>
      <c r="KM18" s="24"/>
      <c r="KN18" s="24"/>
      <c r="KO18" s="24"/>
      <c r="KP18" s="24"/>
      <c r="KQ18" s="24"/>
      <c r="KR18" s="24"/>
      <c r="KS18" s="24"/>
      <c r="KT18" s="24"/>
      <c r="KU18" s="38"/>
      <c r="KV18" s="24"/>
      <c r="KW18" s="24"/>
      <c r="KX18" s="24"/>
      <c r="KY18" s="24"/>
      <c r="KZ18" s="24"/>
      <c r="LA18" s="24"/>
      <c r="LB18" s="24"/>
      <c r="LC18" s="24"/>
      <c r="LD18" s="38"/>
      <c r="LE18" s="24"/>
      <c r="LF18" s="24"/>
      <c r="LG18" s="24"/>
      <c r="LH18" s="24"/>
      <c r="LI18" s="24"/>
      <c r="LJ18" s="24"/>
      <c r="LK18" s="24"/>
      <c r="LL18" s="24"/>
      <c r="LM18" s="38"/>
      <c r="LN18" s="24"/>
      <c r="LO18" s="24"/>
      <c r="LP18" s="24"/>
      <c r="LQ18" s="24"/>
      <c r="LR18" s="24"/>
      <c r="LS18" s="24"/>
      <c r="LT18" s="24"/>
      <c r="LU18" s="24"/>
      <c r="LV18" s="38"/>
      <c r="LW18" s="24"/>
      <c r="LX18" s="24"/>
      <c r="LY18" s="24"/>
      <c r="LZ18" s="24"/>
      <c r="MA18" s="24"/>
      <c r="MB18" s="24"/>
      <c r="MC18" s="24"/>
      <c r="MD18" s="24"/>
      <c r="ME18" s="38"/>
      <c r="MF18" s="24"/>
      <c r="MG18" s="24"/>
      <c r="MH18" s="24"/>
      <c r="MI18" s="24"/>
      <c r="MJ18" s="24"/>
      <c r="MK18" s="24"/>
      <c r="ML18" s="24"/>
      <c r="MM18" s="24"/>
      <c r="MN18" s="38"/>
      <c r="MO18" s="24"/>
      <c r="MP18" s="24"/>
      <c r="MQ18" s="24"/>
      <c r="MR18" s="24"/>
      <c r="MS18" s="24"/>
      <c r="MT18" s="24"/>
      <c r="MU18" s="24"/>
      <c r="MV18" s="24"/>
      <c r="MW18" s="38"/>
      <c r="MX18" s="24"/>
      <c r="MY18" s="24"/>
      <c r="MZ18" s="24"/>
      <c r="NA18" s="24"/>
      <c r="NB18" s="24"/>
      <c r="NC18" s="24"/>
      <c r="ND18" s="24"/>
      <c r="NE18" s="24"/>
      <c r="NF18" s="38"/>
      <c r="NG18" s="24"/>
      <c r="NH18" s="24"/>
      <c r="NI18" s="24"/>
      <c r="NJ18" s="24"/>
      <c r="NK18" s="24"/>
      <c r="NL18" s="24"/>
      <c r="NM18" s="24"/>
      <c r="NN18" s="24"/>
      <c r="NO18" s="38"/>
      <c r="NP18" s="24"/>
      <c r="NQ18" s="24"/>
      <c r="NR18" s="24"/>
      <c r="NS18" s="24"/>
      <c r="NT18" s="24"/>
      <c r="NU18" s="24"/>
      <c r="NV18" s="24"/>
      <c r="NW18" s="24"/>
      <c r="NX18" s="38"/>
      <c r="NY18" s="24"/>
      <c r="NZ18" s="24"/>
      <c r="OA18" s="24"/>
      <c r="OB18" s="24"/>
      <c r="OC18" s="24"/>
      <c r="OD18" s="24"/>
      <c r="OE18" s="24"/>
      <c r="OF18" s="24"/>
      <c r="OG18" s="38"/>
      <c r="OH18" s="24"/>
      <c r="OI18" s="24"/>
      <c r="OJ18" s="24"/>
      <c r="OK18" s="24"/>
      <c r="OL18" s="24"/>
      <c r="OM18" s="24"/>
      <c r="ON18" s="24"/>
      <c r="OO18" s="24"/>
      <c r="OP18" s="38"/>
      <c r="OQ18" s="24"/>
      <c r="OR18" s="24"/>
      <c r="OS18" s="24"/>
      <c r="OT18" s="24"/>
      <c r="OU18" s="24"/>
      <c r="OV18" s="24"/>
      <c r="OW18" s="24"/>
      <c r="OX18" s="24"/>
      <c r="OY18" s="38"/>
    </row>
    <row r="19" spans="1:424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  <c r="K19" s="24"/>
      <c r="L19" s="24"/>
      <c r="M19" s="24"/>
      <c r="N19" s="24"/>
      <c r="O19" s="24"/>
      <c r="P19" s="24"/>
      <c r="Q19" s="24"/>
      <c r="R19" s="24"/>
      <c r="S19" s="38"/>
      <c r="T19" s="24"/>
      <c r="U19" s="24"/>
      <c r="V19" s="24"/>
      <c r="W19" s="24"/>
      <c r="X19" s="24"/>
      <c r="Y19" s="24"/>
      <c r="Z19" s="24"/>
      <c r="AA19" s="24"/>
      <c r="AB19" s="38"/>
      <c r="AC19" s="24"/>
      <c r="AD19" s="24"/>
      <c r="AE19" s="24"/>
      <c r="AF19" s="24"/>
      <c r="AG19" s="24"/>
      <c r="AH19" s="24"/>
      <c r="AI19" s="24"/>
      <c r="AJ19" s="24"/>
      <c r="AK19" s="38"/>
      <c r="AL19" s="24"/>
      <c r="AM19" s="24"/>
      <c r="AN19" s="24"/>
      <c r="AO19" s="24"/>
      <c r="AP19" s="24"/>
      <c r="AQ19" s="24"/>
      <c r="AR19" s="24"/>
      <c r="AS19" s="24"/>
      <c r="AT19" s="38"/>
      <c r="AU19" s="24"/>
      <c r="AV19" s="24"/>
      <c r="AW19" s="24"/>
      <c r="AX19" s="24"/>
      <c r="AY19" s="24"/>
      <c r="AZ19" s="24"/>
      <c r="BA19" s="24"/>
      <c r="BB19" s="24"/>
      <c r="BC19" s="38"/>
      <c r="BD19" s="24"/>
      <c r="BE19" s="24"/>
      <c r="BF19" s="24"/>
      <c r="BG19" s="24"/>
      <c r="BH19" s="24"/>
      <c r="BI19" s="24"/>
      <c r="BJ19" s="24"/>
      <c r="BK19" s="24"/>
      <c r="BL19" s="38"/>
      <c r="BM19" s="24"/>
      <c r="BN19" s="24"/>
      <c r="BO19" s="24"/>
      <c r="BP19" s="24"/>
      <c r="BQ19" s="24"/>
      <c r="BR19" s="24"/>
      <c r="BS19" s="24"/>
      <c r="BT19" s="24"/>
      <c r="BU19" s="38"/>
      <c r="BV19" s="24"/>
      <c r="BW19" s="24"/>
      <c r="BX19" s="24"/>
      <c r="BY19" s="24"/>
      <c r="BZ19" s="24"/>
      <c r="CA19" s="24"/>
      <c r="CB19" s="24"/>
      <c r="CC19" s="24"/>
      <c r="CD19" s="38"/>
      <c r="CE19" s="24"/>
      <c r="CF19" s="24"/>
      <c r="CG19" s="24"/>
      <c r="CH19" s="24"/>
      <c r="CI19" s="24"/>
      <c r="CJ19" s="24"/>
      <c r="CK19" s="24"/>
      <c r="CL19" s="24"/>
      <c r="CM19" s="38"/>
      <c r="CN19" s="24"/>
      <c r="CO19" s="24"/>
      <c r="CP19" s="24"/>
      <c r="CQ19" s="24"/>
      <c r="CR19" s="24"/>
      <c r="CS19" s="24"/>
      <c r="CT19" s="24"/>
      <c r="CU19" s="24"/>
      <c r="CV19" s="38"/>
      <c r="CW19" s="24"/>
      <c r="CX19" s="24"/>
      <c r="CY19" s="24"/>
      <c r="CZ19" s="24"/>
      <c r="DA19" s="24"/>
      <c r="DB19" s="24"/>
      <c r="DC19" s="24"/>
      <c r="DD19" s="24"/>
      <c r="DE19" s="38"/>
      <c r="DF19" s="24"/>
      <c r="DG19" s="24"/>
      <c r="DH19" s="24"/>
      <c r="DI19" s="24"/>
      <c r="DJ19" s="24"/>
      <c r="DK19" s="24"/>
      <c r="DL19" s="24"/>
      <c r="DM19" s="24"/>
      <c r="DN19" s="38"/>
      <c r="DO19" s="24"/>
      <c r="DP19" s="24"/>
      <c r="DQ19" s="24"/>
      <c r="DR19" s="24"/>
      <c r="DS19" s="24"/>
      <c r="DT19" s="24"/>
      <c r="DU19" s="24"/>
      <c r="DV19" s="24"/>
      <c r="DW19" s="38"/>
      <c r="DX19" s="24"/>
      <c r="DY19" s="24"/>
      <c r="DZ19" s="24"/>
      <c r="EA19" s="24"/>
      <c r="EB19" s="24"/>
      <c r="EC19" s="24"/>
      <c r="ED19" s="24"/>
      <c r="EE19" s="24"/>
      <c r="EF19" s="38"/>
      <c r="EG19" s="24"/>
      <c r="EH19" s="24"/>
      <c r="EI19" s="24"/>
      <c r="EJ19" s="24"/>
      <c r="EK19" s="24"/>
      <c r="EL19" s="24"/>
      <c r="EM19" s="24"/>
      <c r="EN19" s="24"/>
      <c r="EO19" s="38"/>
      <c r="EP19" s="24"/>
      <c r="EQ19" s="24"/>
      <c r="ER19" s="24"/>
      <c r="ES19" s="24"/>
      <c r="ET19" s="24"/>
      <c r="EU19" s="24"/>
      <c r="EV19" s="24"/>
      <c r="EW19" s="24"/>
      <c r="EX19" s="38"/>
      <c r="EY19" s="24"/>
      <c r="EZ19" s="24"/>
      <c r="FA19" s="24"/>
      <c r="FB19" s="24"/>
      <c r="FC19" s="24"/>
      <c r="FD19" s="24"/>
      <c r="FE19" s="24"/>
      <c r="FF19" s="24"/>
      <c r="FG19" s="38"/>
      <c r="FH19" s="24"/>
      <c r="FI19" s="24"/>
      <c r="FJ19" s="24"/>
      <c r="FK19" s="24"/>
      <c r="FL19" s="24"/>
      <c r="FM19" s="24"/>
      <c r="FN19" s="24"/>
      <c r="FO19" s="24"/>
      <c r="FP19" s="38"/>
      <c r="FQ19" s="24"/>
      <c r="FR19" s="24"/>
      <c r="FS19" s="24"/>
      <c r="FT19" s="24"/>
      <c r="FU19" s="24"/>
      <c r="FV19" s="24"/>
      <c r="FW19" s="24"/>
      <c r="FX19" s="24"/>
      <c r="FY19" s="38"/>
      <c r="FZ19" s="24"/>
      <c r="GA19" s="24"/>
      <c r="GB19" s="24"/>
      <c r="GC19" s="24"/>
      <c r="GD19" s="24"/>
      <c r="GE19" s="24"/>
      <c r="GF19" s="24"/>
      <c r="GG19" s="24"/>
      <c r="GH19" s="38"/>
      <c r="GI19" s="24"/>
      <c r="GJ19" s="24"/>
      <c r="GK19" s="24"/>
      <c r="GL19" s="24"/>
      <c r="GM19" s="24"/>
      <c r="GN19" s="24"/>
      <c r="GO19" s="24"/>
      <c r="GP19" s="24"/>
      <c r="GQ19" s="38"/>
      <c r="GR19" s="24"/>
      <c r="GS19" s="24"/>
      <c r="GT19" s="24"/>
      <c r="GU19" s="24"/>
      <c r="GV19" s="24"/>
      <c r="GW19" s="24"/>
      <c r="GX19" s="24"/>
      <c r="GY19" s="24"/>
      <c r="GZ19" s="38"/>
      <c r="HA19" s="24"/>
      <c r="HB19" s="24"/>
      <c r="HC19" s="24"/>
      <c r="HD19" s="24"/>
      <c r="HE19" s="24"/>
      <c r="HF19" s="24"/>
      <c r="HG19" s="24"/>
      <c r="HH19" s="24"/>
      <c r="HI19" s="38"/>
      <c r="HJ19" s="24"/>
      <c r="HK19" s="24"/>
      <c r="HL19" s="24"/>
      <c r="HM19" s="24"/>
      <c r="HN19" s="24"/>
      <c r="HO19" s="24"/>
      <c r="HP19" s="24"/>
      <c r="HQ19" s="24"/>
      <c r="HR19" s="38"/>
      <c r="HS19" s="24"/>
      <c r="HT19" s="24"/>
      <c r="HU19" s="24"/>
      <c r="HV19" s="24"/>
      <c r="HW19" s="24"/>
      <c r="HX19" s="24"/>
      <c r="HY19" s="24"/>
      <c r="HZ19" s="24"/>
      <c r="IA19" s="38"/>
      <c r="IB19" s="24"/>
      <c r="IC19" s="24"/>
      <c r="ID19" s="24"/>
      <c r="IE19" s="24"/>
      <c r="IF19" s="24"/>
      <c r="IG19" s="24"/>
      <c r="IH19" s="24"/>
      <c r="II19" s="24"/>
      <c r="IJ19" s="38"/>
      <c r="IK19" s="24"/>
      <c r="IL19" s="24"/>
      <c r="IM19" s="24"/>
      <c r="IN19" s="24"/>
      <c r="IO19" s="24"/>
      <c r="IP19" s="24"/>
      <c r="IQ19" s="24"/>
      <c r="IR19" s="24"/>
      <c r="IS19" s="38"/>
      <c r="IT19" s="24"/>
      <c r="IU19" s="24"/>
      <c r="IV19" s="24"/>
      <c r="IW19" s="24"/>
      <c r="IX19" s="24"/>
      <c r="IY19" s="24"/>
      <c r="IZ19" s="24"/>
      <c r="JA19" s="24"/>
      <c r="JB19" s="38"/>
      <c r="JC19" s="24"/>
      <c r="JD19" s="24"/>
      <c r="JE19" s="24"/>
      <c r="JF19" s="24"/>
      <c r="JG19" s="24"/>
      <c r="JH19" s="24"/>
      <c r="JI19" s="24"/>
      <c r="JJ19" s="24"/>
      <c r="JK19" s="38"/>
      <c r="JL19" s="24"/>
      <c r="JM19" s="24"/>
      <c r="JN19" s="24"/>
      <c r="JO19" s="24"/>
      <c r="JP19" s="24"/>
      <c r="JQ19" s="24"/>
      <c r="JR19" s="24"/>
      <c r="JS19" s="24"/>
      <c r="JT19" s="38"/>
      <c r="JU19" s="24">
        <v>2</v>
      </c>
      <c r="JV19" s="24">
        <v>1250000</v>
      </c>
      <c r="JW19" s="24">
        <v>0</v>
      </c>
      <c r="JX19" s="24">
        <v>12187</v>
      </c>
      <c r="JY19" s="24">
        <v>2</v>
      </c>
      <c r="JZ19" s="24">
        <v>1237813</v>
      </c>
      <c r="KA19" s="24">
        <v>133678</v>
      </c>
      <c r="KB19" s="24">
        <v>3013</v>
      </c>
      <c r="KC19" s="38">
        <v>2.2499999999999999E-2</v>
      </c>
      <c r="KD19" s="24">
        <v>6</v>
      </c>
      <c r="KE19" s="24">
        <v>3550000</v>
      </c>
      <c r="KF19" s="24">
        <v>0</v>
      </c>
      <c r="KG19" s="24">
        <v>707788</v>
      </c>
      <c r="KH19" s="24">
        <v>8</v>
      </c>
      <c r="KI19" s="24">
        <v>4080025</v>
      </c>
      <c r="KJ19" s="24">
        <v>3182075</v>
      </c>
      <c r="KK19" s="24">
        <v>247762</v>
      </c>
      <c r="KL19" s="38">
        <v>7.7899999999999997E-2</v>
      </c>
      <c r="KM19" s="24">
        <v>4</v>
      </c>
      <c r="KN19" s="24">
        <v>2700000</v>
      </c>
      <c r="KO19" s="24">
        <v>1</v>
      </c>
      <c r="KP19" s="24">
        <v>1296004</v>
      </c>
      <c r="KQ19" s="24">
        <v>11</v>
      </c>
      <c r="KR19" s="24">
        <v>5484021</v>
      </c>
      <c r="KS19" s="24">
        <v>4506546</v>
      </c>
      <c r="KT19" s="24">
        <v>395862</v>
      </c>
      <c r="KU19" s="38">
        <v>8.7800000000000003E-2</v>
      </c>
      <c r="KV19" s="24">
        <v>0</v>
      </c>
      <c r="KW19" s="24">
        <v>0</v>
      </c>
      <c r="KX19" s="24">
        <v>6</v>
      </c>
      <c r="KY19" s="24">
        <v>3137878</v>
      </c>
      <c r="KZ19" s="24">
        <v>5</v>
      </c>
      <c r="LA19" s="24">
        <v>2346143</v>
      </c>
      <c r="LB19" s="24">
        <v>4209290</v>
      </c>
      <c r="LC19" s="24">
        <v>371178</v>
      </c>
      <c r="LD19" s="38">
        <v>8.8200000000000001E-2</v>
      </c>
      <c r="LE19" s="24">
        <v>0</v>
      </c>
      <c r="LF19" s="24">
        <v>0</v>
      </c>
      <c r="LG19" s="24">
        <v>0</v>
      </c>
      <c r="LH19" s="24">
        <v>835096</v>
      </c>
      <c r="LI19" s="24">
        <v>5</v>
      </c>
      <c r="LJ19" s="24">
        <v>1511047</v>
      </c>
      <c r="LK19" s="24">
        <v>1956857</v>
      </c>
      <c r="LL19" s="24">
        <v>193152</v>
      </c>
      <c r="LM19" s="38">
        <v>9.8699999999999996E-2</v>
      </c>
      <c r="LN19" s="24"/>
      <c r="LO19" s="24"/>
      <c r="LP19" s="24">
        <v>1</v>
      </c>
      <c r="LQ19" s="24">
        <v>834599</v>
      </c>
      <c r="LR19" s="24">
        <v>4</v>
      </c>
      <c r="LS19" s="24">
        <v>676448</v>
      </c>
      <c r="LT19" s="24">
        <v>1017968</v>
      </c>
      <c r="LU19" s="24">
        <v>97518</v>
      </c>
      <c r="LV19" s="38">
        <v>9.5799999999999996E-2</v>
      </c>
      <c r="LW19" s="24"/>
      <c r="LX19" s="24"/>
      <c r="LY19" s="24">
        <v>2</v>
      </c>
      <c r="LZ19" s="24">
        <v>320789</v>
      </c>
      <c r="MA19" s="24">
        <v>2</v>
      </c>
      <c r="MB19" s="24">
        <v>355659</v>
      </c>
      <c r="MC19" s="24">
        <v>453989</v>
      </c>
      <c r="MD19" s="24">
        <v>45390</v>
      </c>
      <c r="ME19" s="38">
        <v>0.1</v>
      </c>
      <c r="MF19" s="24"/>
      <c r="MG19" s="24"/>
      <c r="MH19" s="24">
        <v>1</v>
      </c>
      <c r="MI19" s="24">
        <v>106345</v>
      </c>
      <c r="MJ19" s="24">
        <v>1</v>
      </c>
      <c r="MK19" s="24">
        <v>249314</v>
      </c>
      <c r="ML19" s="24">
        <v>278675</v>
      </c>
      <c r="MM19" s="24">
        <v>21581</v>
      </c>
      <c r="MN19" s="38">
        <v>7.7399999999999997E-2</v>
      </c>
      <c r="MO19" s="24"/>
      <c r="MP19" s="24"/>
      <c r="MQ19" s="24"/>
      <c r="MR19" s="24">
        <v>21037</v>
      </c>
      <c r="MS19" s="24">
        <v>1</v>
      </c>
      <c r="MT19" s="24">
        <v>228277</v>
      </c>
      <c r="MU19" s="24">
        <v>239208</v>
      </c>
      <c r="MV19" s="24">
        <v>8833</v>
      </c>
      <c r="MW19" s="38">
        <v>3.6900000000000002E-2</v>
      </c>
      <c r="MX19" s="24"/>
      <c r="MY19" s="24"/>
      <c r="MZ19" s="24"/>
      <c r="NA19" s="24">
        <v>44451</v>
      </c>
      <c r="NB19" s="24">
        <v>1</v>
      </c>
      <c r="NC19" s="24">
        <v>183826</v>
      </c>
      <c r="ND19" s="24">
        <v>208064</v>
      </c>
      <c r="NE19" s="24">
        <v>15289</v>
      </c>
      <c r="NF19" s="38">
        <v>7.3499999999999996E-2</v>
      </c>
      <c r="NG19" s="24"/>
      <c r="NH19" s="24"/>
      <c r="NI19" s="24"/>
      <c r="NJ19" s="24">
        <v>83437</v>
      </c>
      <c r="NK19" s="24">
        <v>1</v>
      </c>
      <c r="NL19" s="24">
        <v>100389</v>
      </c>
      <c r="NM19" s="24">
        <v>129876</v>
      </c>
      <c r="NN19" s="24">
        <v>18121</v>
      </c>
      <c r="NO19" s="38">
        <v>0.13950000000000001</v>
      </c>
      <c r="NP19" s="24"/>
      <c r="NQ19" s="24"/>
      <c r="NR19" s="24">
        <v>1</v>
      </c>
      <c r="NS19" s="24">
        <v>100389</v>
      </c>
      <c r="NT19" s="24"/>
      <c r="NU19" s="24"/>
      <c r="NV19" s="24">
        <v>37896</v>
      </c>
      <c r="NW19" s="24">
        <v>6819</v>
      </c>
      <c r="NX19" s="38">
        <v>0.1799</v>
      </c>
      <c r="NY19" s="24"/>
      <c r="NZ19" s="24"/>
      <c r="OA19" s="24"/>
      <c r="OB19" s="24"/>
      <c r="OC19" s="24"/>
      <c r="OD19" s="24"/>
      <c r="OE19" s="24"/>
      <c r="OF19" s="24"/>
      <c r="OG19" s="38"/>
      <c r="OH19" s="24"/>
      <c r="OI19" s="24"/>
      <c r="OJ19" s="24"/>
      <c r="OK19" s="24"/>
      <c r="OL19" s="24"/>
      <c r="OM19" s="24"/>
      <c r="ON19" s="24"/>
      <c r="OO19" s="24"/>
      <c r="OP19" s="38"/>
      <c r="OQ19" s="24"/>
      <c r="OR19" s="24"/>
      <c r="OS19" s="24"/>
      <c r="OT19" s="24"/>
      <c r="OU19" s="24"/>
      <c r="OV19" s="24"/>
      <c r="OW19" s="24"/>
      <c r="OX19" s="24"/>
      <c r="OY19" s="38"/>
    </row>
    <row r="20" spans="1:424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  <c r="K20" s="24"/>
      <c r="L20" s="24"/>
      <c r="M20" s="24"/>
      <c r="N20" s="24"/>
      <c r="O20" s="24"/>
      <c r="P20" s="24"/>
      <c r="Q20" s="24"/>
      <c r="R20" s="24"/>
      <c r="S20" s="38"/>
      <c r="T20" s="24"/>
      <c r="U20" s="24"/>
      <c r="V20" s="24"/>
      <c r="W20" s="24"/>
      <c r="X20" s="24"/>
      <c r="Y20" s="24"/>
      <c r="Z20" s="24"/>
      <c r="AA20" s="24"/>
      <c r="AB20" s="38"/>
      <c r="AC20" s="24"/>
      <c r="AD20" s="24"/>
      <c r="AE20" s="24"/>
      <c r="AF20" s="24"/>
      <c r="AG20" s="24"/>
      <c r="AH20" s="24"/>
      <c r="AI20" s="24"/>
      <c r="AJ20" s="24"/>
      <c r="AK20" s="38"/>
      <c r="AL20" s="24"/>
      <c r="AM20" s="24"/>
      <c r="AN20" s="24"/>
      <c r="AO20" s="24"/>
      <c r="AP20" s="24"/>
      <c r="AQ20" s="24"/>
      <c r="AR20" s="24"/>
      <c r="AS20" s="24"/>
      <c r="AT20" s="38"/>
      <c r="AU20" s="24"/>
      <c r="AV20" s="24"/>
      <c r="AW20" s="24"/>
      <c r="AX20" s="24"/>
      <c r="AY20" s="24"/>
      <c r="AZ20" s="24"/>
      <c r="BA20" s="24"/>
      <c r="BB20" s="24"/>
      <c r="BC20" s="38"/>
      <c r="BD20" s="24"/>
      <c r="BE20" s="24"/>
      <c r="BF20" s="24"/>
      <c r="BG20" s="24"/>
      <c r="BH20" s="24"/>
      <c r="BI20" s="24"/>
      <c r="BJ20" s="24"/>
      <c r="BK20" s="24"/>
      <c r="BL20" s="38"/>
      <c r="BM20" s="24"/>
      <c r="BN20" s="24"/>
      <c r="BO20" s="24"/>
      <c r="BP20" s="24"/>
      <c r="BQ20" s="24"/>
      <c r="BR20" s="24"/>
      <c r="BS20" s="24"/>
      <c r="BT20" s="24"/>
      <c r="BU20" s="38"/>
      <c r="BV20" s="24"/>
      <c r="BW20" s="24"/>
      <c r="BX20" s="24"/>
      <c r="BY20" s="24"/>
      <c r="BZ20" s="24"/>
      <c r="CA20" s="24"/>
      <c r="CB20" s="24"/>
      <c r="CC20" s="24"/>
      <c r="CD20" s="38"/>
      <c r="CE20" s="24"/>
      <c r="CF20" s="24"/>
      <c r="CG20" s="24"/>
      <c r="CH20" s="24"/>
      <c r="CI20" s="24"/>
      <c r="CJ20" s="24"/>
      <c r="CK20" s="24"/>
      <c r="CL20" s="24"/>
      <c r="CM20" s="38"/>
      <c r="CN20" s="24"/>
      <c r="CO20" s="24"/>
      <c r="CP20" s="24"/>
      <c r="CQ20" s="24"/>
      <c r="CR20" s="24"/>
      <c r="CS20" s="24"/>
      <c r="CT20" s="24"/>
      <c r="CU20" s="24"/>
      <c r="CV20" s="38"/>
      <c r="CW20" s="24"/>
      <c r="CX20" s="24"/>
      <c r="CY20" s="24"/>
      <c r="CZ20" s="24"/>
      <c r="DA20" s="24"/>
      <c r="DB20" s="24"/>
      <c r="DC20" s="24"/>
      <c r="DD20" s="24"/>
      <c r="DE20" s="38"/>
      <c r="DF20" s="24"/>
      <c r="DG20" s="24"/>
      <c r="DH20" s="24"/>
      <c r="DI20" s="24"/>
      <c r="DJ20" s="24"/>
      <c r="DK20" s="24"/>
      <c r="DL20" s="24"/>
      <c r="DM20" s="24"/>
      <c r="DN20" s="38"/>
      <c r="DO20" s="24"/>
      <c r="DP20" s="24"/>
      <c r="DQ20" s="24"/>
      <c r="DR20" s="24"/>
      <c r="DS20" s="24"/>
      <c r="DT20" s="24"/>
      <c r="DU20" s="24"/>
      <c r="DV20" s="24"/>
      <c r="DW20" s="38"/>
      <c r="DX20" s="24"/>
      <c r="DY20" s="24"/>
      <c r="DZ20" s="24"/>
      <c r="EA20" s="24"/>
      <c r="EB20" s="24"/>
      <c r="EC20" s="24"/>
      <c r="ED20" s="24"/>
      <c r="EE20" s="24"/>
      <c r="EF20" s="38"/>
      <c r="EG20" s="24"/>
      <c r="EH20" s="24"/>
      <c r="EI20" s="24"/>
      <c r="EJ20" s="24"/>
      <c r="EK20" s="24"/>
      <c r="EL20" s="24"/>
      <c r="EM20" s="24"/>
      <c r="EN20" s="24"/>
      <c r="EO20" s="38"/>
      <c r="EP20" s="24"/>
      <c r="EQ20" s="24"/>
      <c r="ER20" s="24"/>
      <c r="ES20" s="24"/>
      <c r="ET20" s="24"/>
      <c r="EU20" s="24"/>
      <c r="EV20" s="24"/>
      <c r="EW20" s="24"/>
      <c r="EX20" s="38"/>
      <c r="EY20" s="24"/>
      <c r="EZ20" s="24"/>
      <c r="FA20" s="24"/>
      <c r="FB20" s="24"/>
      <c r="FC20" s="24"/>
      <c r="FD20" s="24"/>
      <c r="FE20" s="24"/>
      <c r="FF20" s="24"/>
      <c r="FG20" s="38"/>
      <c r="FH20" s="24"/>
      <c r="FI20" s="24"/>
      <c r="FJ20" s="24"/>
      <c r="FK20" s="24"/>
      <c r="FL20" s="24"/>
      <c r="FM20" s="24"/>
      <c r="FN20" s="24"/>
      <c r="FO20" s="24"/>
      <c r="FP20" s="38"/>
      <c r="FQ20" s="24"/>
      <c r="FR20" s="24"/>
      <c r="FS20" s="24"/>
      <c r="FT20" s="24"/>
      <c r="FU20" s="24"/>
      <c r="FV20" s="24"/>
      <c r="FW20" s="24"/>
      <c r="FX20" s="24"/>
      <c r="FY20" s="38"/>
      <c r="FZ20" s="24"/>
      <c r="GA20" s="24"/>
      <c r="GB20" s="24"/>
      <c r="GC20" s="24"/>
      <c r="GD20" s="24"/>
      <c r="GE20" s="24"/>
      <c r="GF20" s="24"/>
      <c r="GG20" s="24"/>
      <c r="GH20" s="38"/>
      <c r="GI20" s="24"/>
      <c r="GJ20" s="24"/>
      <c r="GK20" s="24"/>
      <c r="GL20" s="24"/>
      <c r="GM20" s="24"/>
      <c r="GN20" s="24"/>
      <c r="GO20" s="24"/>
      <c r="GP20" s="24"/>
      <c r="GQ20" s="38"/>
      <c r="GR20" s="24"/>
      <c r="GS20" s="24"/>
      <c r="GT20" s="24"/>
      <c r="GU20" s="24"/>
      <c r="GV20" s="24"/>
      <c r="GW20" s="24"/>
      <c r="GX20" s="24"/>
      <c r="GY20" s="24"/>
      <c r="GZ20" s="38"/>
      <c r="HA20" s="24"/>
      <c r="HB20" s="24"/>
      <c r="HC20" s="24"/>
      <c r="HD20" s="24"/>
      <c r="HE20" s="24"/>
      <c r="HF20" s="24"/>
      <c r="HG20" s="24"/>
      <c r="HH20" s="24"/>
      <c r="HI20" s="38"/>
      <c r="HJ20" s="24"/>
      <c r="HK20" s="24"/>
      <c r="HL20" s="24"/>
      <c r="HM20" s="24"/>
      <c r="HN20" s="24"/>
      <c r="HO20" s="24"/>
      <c r="HP20" s="24"/>
      <c r="HQ20" s="24"/>
      <c r="HR20" s="38"/>
      <c r="HS20" s="24"/>
      <c r="HT20" s="24"/>
      <c r="HU20" s="24"/>
      <c r="HV20" s="24"/>
      <c r="HW20" s="24"/>
      <c r="HX20" s="24"/>
      <c r="HY20" s="24"/>
      <c r="HZ20" s="24"/>
      <c r="IA20" s="38"/>
      <c r="IB20" s="24"/>
      <c r="IC20" s="24"/>
      <c r="ID20" s="24"/>
      <c r="IE20" s="24"/>
      <c r="IF20" s="24"/>
      <c r="IG20" s="24"/>
      <c r="IH20" s="24"/>
      <c r="II20" s="24"/>
      <c r="IJ20" s="38"/>
      <c r="IK20" s="24"/>
      <c r="IL20" s="24"/>
      <c r="IM20" s="24"/>
      <c r="IN20" s="24"/>
      <c r="IO20" s="24"/>
      <c r="IP20" s="24"/>
      <c r="IQ20" s="24"/>
      <c r="IR20" s="24"/>
      <c r="IS20" s="38"/>
      <c r="IT20" s="24"/>
      <c r="IU20" s="24"/>
      <c r="IV20" s="24"/>
      <c r="IW20" s="24"/>
      <c r="IX20" s="24"/>
      <c r="IY20" s="24"/>
      <c r="IZ20" s="24"/>
      <c r="JA20" s="24"/>
      <c r="JB20" s="38"/>
      <c r="JC20" s="24"/>
      <c r="JD20" s="24"/>
      <c r="JE20" s="24"/>
      <c r="JF20" s="24"/>
      <c r="JG20" s="24"/>
      <c r="JH20" s="24"/>
      <c r="JI20" s="24"/>
      <c r="JJ20" s="24"/>
      <c r="JK20" s="38"/>
      <c r="JL20" s="24"/>
      <c r="JM20" s="24"/>
      <c r="JN20" s="24"/>
      <c r="JO20" s="24"/>
      <c r="JP20" s="24"/>
      <c r="JQ20" s="24"/>
      <c r="JR20" s="24"/>
      <c r="JS20" s="24"/>
      <c r="JT20" s="38"/>
      <c r="JU20" s="24"/>
      <c r="JV20" s="24"/>
      <c r="JW20" s="24"/>
      <c r="JX20" s="24"/>
      <c r="JY20" s="24"/>
      <c r="JZ20" s="24"/>
      <c r="KA20" s="24"/>
      <c r="KB20" s="24"/>
      <c r="KC20" s="38"/>
      <c r="KD20" s="24"/>
      <c r="KE20" s="24"/>
      <c r="KF20" s="24"/>
      <c r="KG20" s="24"/>
      <c r="KH20" s="24"/>
      <c r="KI20" s="24"/>
      <c r="KJ20" s="24"/>
      <c r="KK20" s="24"/>
      <c r="KL20" s="38"/>
      <c r="KM20" s="24"/>
      <c r="KN20" s="24"/>
      <c r="KO20" s="24"/>
      <c r="KP20" s="24"/>
      <c r="KQ20" s="24"/>
      <c r="KR20" s="24"/>
      <c r="KS20" s="24"/>
      <c r="KT20" s="24"/>
      <c r="KU20" s="38"/>
      <c r="KV20" s="24"/>
      <c r="KW20" s="24"/>
      <c r="KX20" s="24"/>
      <c r="KY20" s="24"/>
      <c r="KZ20" s="24"/>
      <c r="LA20" s="24"/>
      <c r="LB20" s="24"/>
      <c r="LC20" s="24"/>
      <c r="LD20" s="38"/>
      <c r="LE20" s="24"/>
      <c r="LF20" s="24"/>
      <c r="LG20" s="24"/>
      <c r="LH20" s="24"/>
      <c r="LI20" s="24"/>
      <c r="LJ20" s="24"/>
      <c r="LK20" s="24"/>
      <c r="LL20" s="24"/>
      <c r="LM20" s="38"/>
      <c r="LN20" s="24"/>
      <c r="LO20" s="24"/>
      <c r="LP20" s="24"/>
      <c r="LQ20" s="24"/>
      <c r="LR20" s="24"/>
      <c r="LS20" s="24"/>
      <c r="LT20" s="24"/>
      <c r="LU20" s="24"/>
      <c r="LV20" s="38"/>
      <c r="LW20" s="24">
        <v>1</v>
      </c>
      <c r="LX20" s="24">
        <v>500000</v>
      </c>
      <c r="LY20" s="24">
        <v>12</v>
      </c>
      <c r="LZ20" s="24">
        <v>1308643</v>
      </c>
      <c r="MA20" s="24">
        <v>4</v>
      </c>
      <c r="MB20" s="24">
        <v>990653</v>
      </c>
      <c r="MC20" s="24">
        <v>1284687</v>
      </c>
      <c r="MD20" s="24">
        <v>131478</v>
      </c>
      <c r="ME20" s="38">
        <v>0.1023</v>
      </c>
      <c r="MF20" s="24"/>
      <c r="MG20" s="24"/>
      <c r="MH20" s="24">
        <v>2</v>
      </c>
      <c r="MI20" s="24">
        <v>587142</v>
      </c>
      <c r="MJ20" s="24">
        <v>2</v>
      </c>
      <c r="MK20" s="24">
        <v>403511</v>
      </c>
      <c r="ML20" s="24">
        <v>642896</v>
      </c>
      <c r="MM20" s="24">
        <v>72620</v>
      </c>
      <c r="MN20" s="38">
        <v>0.113</v>
      </c>
      <c r="MO20" s="24">
        <v>1</v>
      </c>
      <c r="MP20" s="24">
        <v>410000</v>
      </c>
      <c r="MQ20" s="24">
        <v>1</v>
      </c>
      <c r="MR20" s="24">
        <v>186368</v>
      </c>
      <c r="MS20" s="24">
        <v>2</v>
      </c>
      <c r="MT20" s="24">
        <v>627143</v>
      </c>
      <c r="MU20" s="24">
        <v>513955</v>
      </c>
      <c r="MV20" s="24">
        <v>48323</v>
      </c>
      <c r="MW20" s="38">
        <v>9.4E-2</v>
      </c>
      <c r="MX20" s="24"/>
      <c r="MY20" s="24"/>
      <c r="MZ20" s="24"/>
      <c r="NA20" s="24">
        <v>305436</v>
      </c>
      <c r="NB20" s="24">
        <v>2</v>
      </c>
      <c r="NC20" s="24">
        <v>321707</v>
      </c>
      <c r="ND20" s="24">
        <v>461891</v>
      </c>
      <c r="NE20" s="24">
        <v>49018</v>
      </c>
      <c r="NF20" s="38">
        <v>0.1061</v>
      </c>
      <c r="NG20" s="24"/>
      <c r="NH20" s="24"/>
      <c r="NI20" s="24">
        <v>1</v>
      </c>
      <c r="NJ20" s="24">
        <v>260183</v>
      </c>
      <c r="NK20" s="24">
        <v>1</v>
      </c>
      <c r="NL20" s="24">
        <v>61524</v>
      </c>
      <c r="NM20" s="24">
        <v>158286</v>
      </c>
      <c r="NN20" s="24">
        <v>18803</v>
      </c>
      <c r="NO20" s="38">
        <v>0.1188</v>
      </c>
      <c r="NP20" s="24"/>
      <c r="NQ20" s="24"/>
      <c r="NR20" s="24">
        <v>1</v>
      </c>
      <c r="NS20" s="24">
        <v>61524</v>
      </c>
      <c r="NT20" s="24"/>
      <c r="NU20" s="24"/>
      <c r="NV20" s="24">
        <v>11594</v>
      </c>
      <c r="NW20" s="24">
        <v>2388</v>
      </c>
      <c r="NX20" s="38">
        <v>0.20599999999999999</v>
      </c>
      <c r="NY20" s="24"/>
      <c r="NZ20" s="24"/>
      <c r="OA20" s="24"/>
      <c r="OB20" s="24"/>
      <c r="OC20" s="24"/>
      <c r="OD20" s="24"/>
      <c r="OE20" s="24"/>
      <c r="OF20" s="24"/>
      <c r="OG20" s="38"/>
      <c r="OH20" s="24"/>
      <c r="OI20" s="24"/>
      <c r="OJ20" s="24"/>
      <c r="OK20" s="24"/>
      <c r="OL20" s="24"/>
      <c r="OM20" s="24"/>
      <c r="ON20" s="24"/>
      <c r="OO20" s="24"/>
      <c r="OP20" s="38"/>
      <c r="OQ20" s="24"/>
      <c r="OR20" s="24"/>
      <c r="OS20" s="24"/>
      <c r="OT20" s="24"/>
      <c r="OU20" s="24"/>
      <c r="OV20" s="24"/>
      <c r="OW20" s="24"/>
      <c r="OX20" s="24"/>
      <c r="OY20" s="38"/>
    </row>
    <row r="21" spans="1:424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  <c r="K21" s="24"/>
      <c r="L21" s="24"/>
      <c r="M21" s="24"/>
      <c r="N21" s="24"/>
      <c r="O21" s="24"/>
      <c r="P21" s="24"/>
      <c r="Q21" s="24"/>
      <c r="R21" s="24"/>
      <c r="S21" s="38"/>
      <c r="T21" s="24"/>
      <c r="U21" s="24"/>
      <c r="V21" s="24"/>
      <c r="W21" s="24"/>
      <c r="X21" s="24"/>
      <c r="Y21" s="24"/>
      <c r="Z21" s="24"/>
      <c r="AA21" s="24"/>
      <c r="AB21" s="38"/>
      <c r="AC21" s="24"/>
      <c r="AD21" s="24"/>
      <c r="AE21" s="24"/>
      <c r="AF21" s="24"/>
      <c r="AG21" s="24"/>
      <c r="AH21" s="24"/>
      <c r="AI21" s="24"/>
      <c r="AJ21" s="24"/>
      <c r="AK21" s="38"/>
      <c r="AL21" s="24"/>
      <c r="AM21" s="24"/>
      <c r="AN21" s="24"/>
      <c r="AO21" s="24"/>
      <c r="AP21" s="24"/>
      <c r="AQ21" s="24"/>
      <c r="AR21" s="24"/>
      <c r="AS21" s="24"/>
      <c r="AT21" s="38"/>
      <c r="AU21" s="24"/>
      <c r="AV21" s="24"/>
      <c r="AW21" s="24"/>
      <c r="AX21" s="24"/>
      <c r="AY21" s="24"/>
      <c r="AZ21" s="24"/>
      <c r="BA21" s="24"/>
      <c r="BB21" s="24"/>
      <c r="BC21" s="38"/>
      <c r="BD21" s="24"/>
      <c r="BE21" s="24"/>
      <c r="BF21" s="24"/>
      <c r="BG21" s="24"/>
      <c r="BH21" s="24"/>
      <c r="BI21" s="24"/>
      <c r="BJ21" s="24"/>
      <c r="BK21" s="24"/>
      <c r="BL21" s="38"/>
      <c r="BM21" s="24"/>
      <c r="BN21" s="24"/>
      <c r="BO21" s="24"/>
      <c r="BP21" s="24"/>
      <c r="BQ21" s="24"/>
      <c r="BR21" s="24"/>
      <c r="BS21" s="24"/>
      <c r="BT21" s="24"/>
      <c r="BU21" s="38"/>
      <c r="BV21" s="24"/>
      <c r="BW21" s="24"/>
      <c r="BX21" s="24"/>
      <c r="BY21" s="24"/>
      <c r="BZ21" s="24"/>
      <c r="CA21" s="24"/>
      <c r="CB21" s="24"/>
      <c r="CC21" s="24"/>
      <c r="CD21" s="38"/>
      <c r="CE21" s="24"/>
      <c r="CF21" s="24"/>
      <c r="CG21" s="24"/>
      <c r="CH21" s="24"/>
      <c r="CI21" s="24"/>
      <c r="CJ21" s="24"/>
      <c r="CK21" s="24"/>
      <c r="CL21" s="24"/>
      <c r="CM21" s="38"/>
      <c r="CN21" s="24"/>
      <c r="CO21" s="24"/>
      <c r="CP21" s="24"/>
      <c r="CQ21" s="24"/>
      <c r="CR21" s="24"/>
      <c r="CS21" s="24"/>
      <c r="CT21" s="24"/>
      <c r="CU21" s="24"/>
      <c r="CV21" s="38"/>
      <c r="CW21" s="24"/>
      <c r="CX21" s="24"/>
      <c r="CY21" s="24"/>
      <c r="CZ21" s="24"/>
      <c r="DA21" s="24"/>
      <c r="DB21" s="24"/>
      <c r="DC21" s="24"/>
      <c r="DD21" s="24"/>
      <c r="DE21" s="38"/>
      <c r="DF21" s="24"/>
      <c r="DG21" s="24"/>
      <c r="DH21" s="24"/>
      <c r="DI21" s="24"/>
      <c r="DJ21" s="24"/>
      <c r="DK21" s="24"/>
      <c r="DL21" s="24"/>
      <c r="DM21" s="24"/>
      <c r="DN21" s="38"/>
      <c r="DO21" s="24"/>
      <c r="DP21" s="24"/>
      <c r="DQ21" s="24"/>
      <c r="DR21" s="24"/>
      <c r="DS21" s="24"/>
      <c r="DT21" s="24"/>
      <c r="DU21" s="24"/>
      <c r="DV21" s="24"/>
      <c r="DW21" s="38"/>
      <c r="DX21" s="24"/>
      <c r="DY21" s="24"/>
      <c r="DZ21" s="24"/>
      <c r="EA21" s="24"/>
      <c r="EB21" s="24"/>
      <c r="EC21" s="24"/>
      <c r="ED21" s="24"/>
      <c r="EE21" s="24"/>
      <c r="EF21" s="38"/>
      <c r="EG21" s="24"/>
      <c r="EH21" s="24"/>
      <c r="EI21" s="24"/>
      <c r="EJ21" s="24"/>
      <c r="EK21" s="24"/>
      <c r="EL21" s="24"/>
      <c r="EM21" s="24"/>
      <c r="EN21" s="24"/>
      <c r="EO21" s="38"/>
      <c r="EP21" s="24"/>
      <c r="EQ21" s="24"/>
      <c r="ER21" s="24"/>
      <c r="ES21" s="24"/>
      <c r="ET21" s="24"/>
      <c r="EU21" s="24"/>
      <c r="EV21" s="24"/>
      <c r="EW21" s="24"/>
      <c r="EX21" s="38"/>
      <c r="EY21" s="24"/>
      <c r="EZ21" s="24"/>
      <c r="FA21" s="24"/>
      <c r="FB21" s="24"/>
      <c r="FC21" s="24"/>
      <c r="FD21" s="24"/>
      <c r="FE21" s="24"/>
      <c r="FF21" s="24"/>
      <c r="FG21" s="38"/>
      <c r="FH21" s="24"/>
      <c r="FI21" s="24"/>
      <c r="FJ21" s="24"/>
      <c r="FK21" s="24"/>
      <c r="FL21" s="24"/>
      <c r="FM21" s="24"/>
      <c r="FN21" s="24"/>
      <c r="FO21" s="24"/>
      <c r="FP21" s="38"/>
      <c r="FQ21" s="24"/>
      <c r="FR21" s="24"/>
      <c r="FS21" s="24"/>
      <c r="FT21" s="24"/>
      <c r="FU21" s="24"/>
      <c r="FV21" s="24"/>
      <c r="FW21" s="24"/>
      <c r="FX21" s="24"/>
      <c r="FY21" s="38"/>
      <c r="FZ21" s="24"/>
      <c r="GA21" s="24"/>
      <c r="GB21" s="24"/>
      <c r="GC21" s="24"/>
      <c r="GD21" s="24"/>
      <c r="GE21" s="24"/>
      <c r="GF21" s="24"/>
      <c r="GG21" s="24"/>
      <c r="GH21" s="38"/>
      <c r="GI21" s="24"/>
      <c r="GJ21" s="24"/>
      <c r="GK21" s="24"/>
      <c r="GL21" s="24"/>
      <c r="GM21" s="24"/>
      <c r="GN21" s="24"/>
      <c r="GO21" s="24"/>
      <c r="GP21" s="24"/>
      <c r="GQ21" s="38"/>
      <c r="GR21" s="24"/>
      <c r="GS21" s="24"/>
      <c r="GT21" s="24"/>
      <c r="GU21" s="24"/>
      <c r="GV21" s="24"/>
      <c r="GW21" s="24"/>
      <c r="GX21" s="24"/>
      <c r="GY21" s="24"/>
      <c r="GZ21" s="38"/>
      <c r="HA21" s="24"/>
      <c r="HB21" s="24"/>
      <c r="HC21" s="24"/>
      <c r="HD21" s="24"/>
      <c r="HE21" s="24"/>
      <c r="HF21" s="24"/>
      <c r="HG21" s="24"/>
      <c r="HH21" s="24"/>
      <c r="HI21" s="38"/>
      <c r="HJ21" s="24"/>
      <c r="HK21" s="24"/>
      <c r="HL21" s="24"/>
      <c r="HM21" s="24"/>
      <c r="HN21" s="24"/>
      <c r="HO21" s="24"/>
      <c r="HP21" s="24"/>
      <c r="HQ21" s="24"/>
      <c r="HR21" s="38"/>
      <c r="HS21" s="24"/>
      <c r="HT21" s="24"/>
      <c r="HU21" s="24"/>
      <c r="HV21" s="24"/>
      <c r="HW21" s="24"/>
      <c r="HX21" s="24"/>
      <c r="HY21" s="24"/>
      <c r="HZ21" s="24"/>
      <c r="IA21" s="38"/>
      <c r="IB21" s="24"/>
      <c r="IC21" s="24"/>
      <c r="ID21" s="24"/>
      <c r="IE21" s="24"/>
      <c r="IF21" s="24"/>
      <c r="IG21" s="24"/>
      <c r="IH21" s="24"/>
      <c r="II21" s="24"/>
      <c r="IJ21" s="38"/>
      <c r="IK21" s="24"/>
      <c r="IL21" s="24"/>
      <c r="IM21" s="24"/>
      <c r="IN21" s="24"/>
      <c r="IO21" s="24"/>
      <c r="IP21" s="24"/>
      <c r="IQ21" s="24"/>
      <c r="IR21" s="24"/>
      <c r="IS21" s="38"/>
      <c r="IT21" s="24"/>
      <c r="IU21" s="24"/>
      <c r="IV21" s="24"/>
      <c r="IW21" s="24"/>
      <c r="IX21" s="24"/>
      <c r="IY21" s="24"/>
      <c r="IZ21" s="24"/>
      <c r="JA21" s="24"/>
      <c r="JB21" s="38"/>
      <c r="JC21" s="24"/>
      <c r="JD21" s="24"/>
      <c r="JE21" s="24"/>
      <c r="JF21" s="24"/>
      <c r="JG21" s="24"/>
      <c r="JH21" s="24"/>
      <c r="JI21" s="24"/>
      <c r="JJ21" s="24"/>
      <c r="JK21" s="38"/>
      <c r="JL21" s="24"/>
      <c r="JM21" s="24"/>
      <c r="JN21" s="24"/>
      <c r="JO21" s="24"/>
      <c r="JP21" s="24"/>
      <c r="JQ21" s="24"/>
      <c r="JR21" s="24"/>
      <c r="JS21" s="24"/>
      <c r="JT21" s="38"/>
      <c r="JU21" s="24">
        <v>9</v>
      </c>
      <c r="JV21" s="24">
        <v>8690000</v>
      </c>
      <c r="JW21" s="24">
        <v>0</v>
      </c>
      <c r="JX21" s="24">
        <v>212459</v>
      </c>
      <c r="JY21" s="24">
        <v>9</v>
      </c>
      <c r="JZ21" s="24">
        <v>8477541</v>
      </c>
      <c r="KA21" s="24">
        <v>1903569</v>
      </c>
      <c r="KB21" s="24">
        <v>100135</v>
      </c>
      <c r="KC21" s="38">
        <v>5.2600000000000001E-2</v>
      </c>
      <c r="KD21" s="24">
        <v>11</v>
      </c>
      <c r="KE21" s="24">
        <v>12890000</v>
      </c>
      <c r="KF21" s="24">
        <v>4</v>
      </c>
      <c r="KG21" s="24">
        <v>4327250</v>
      </c>
      <c r="KH21" s="24">
        <v>16</v>
      </c>
      <c r="KI21" s="24">
        <v>17040291</v>
      </c>
      <c r="KJ21" s="24">
        <v>12204145</v>
      </c>
      <c r="KK21" s="24">
        <v>1013159</v>
      </c>
      <c r="KL21" s="38">
        <v>8.3000000000000004E-2</v>
      </c>
      <c r="KM21" s="24">
        <v>13</v>
      </c>
      <c r="KN21" s="24">
        <v>11110000</v>
      </c>
      <c r="KO21" s="24">
        <v>3</v>
      </c>
      <c r="KP21" s="24">
        <v>4921097</v>
      </c>
      <c r="KQ21" s="24">
        <v>26</v>
      </c>
      <c r="KR21" s="24">
        <v>23229194</v>
      </c>
      <c r="KS21" s="24">
        <v>17586747</v>
      </c>
      <c r="KT21" s="24">
        <v>1529680</v>
      </c>
      <c r="KU21" s="38">
        <v>8.6999999999999994E-2</v>
      </c>
      <c r="KV21" s="24">
        <v>0</v>
      </c>
      <c r="KW21" s="24">
        <v>0</v>
      </c>
      <c r="KX21" s="24">
        <v>6</v>
      </c>
      <c r="KY21" s="24">
        <v>6508707</v>
      </c>
      <c r="KZ21" s="24">
        <v>20</v>
      </c>
      <c r="LA21" s="24">
        <v>16720487</v>
      </c>
      <c r="LB21" s="24">
        <v>19909236</v>
      </c>
      <c r="LC21" s="24">
        <v>1943256</v>
      </c>
      <c r="LD21" s="38">
        <v>9.7600000000000006E-2</v>
      </c>
      <c r="LE21" s="24">
        <v>31</v>
      </c>
      <c r="LF21" s="24">
        <v>24060000</v>
      </c>
      <c r="LG21" s="24">
        <v>5</v>
      </c>
      <c r="LH21" s="24">
        <v>7853401</v>
      </c>
      <c r="LI21" s="24">
        <v>46</v>
      </c>
      <c r="LJ21" s="24">
        <v>32927086</v>
      </c>
      <c r="LK21" s="24">
        <v>20647665</v>
      </c>
      <c r="LL21" s="24">
        <v>1689921</v>
      </c>
      <c r="LM21" s="38">
        <v>8.1799999999999998E-2</v>
      </c>
      <c r="LN21" s="24">
        <v>26</v>
      </c>
      <c r="LO21" s="24">
        <v>25090000</v>
      </c>
      <c r="LP21" s="24">
        <v>8</v>
      </c>
      <c r="LQ21" s="24">
        <v>11630918</v>
      </c>
      <c r="LR21" s="24">
        <v>64</v>
      </c>
      <c r="LS21" s="24">
        <v>46386168</v>
      </c>
      <c r="LT21" s="24">
        <v>37002439</v>
      </c>
      <c r="LU21" s="24">
        <v>3351539</v>
      </c>
      <c r="LV21" s="38">
        <v>9.06E-2</v>
      </c>
      <c r="LW21" s="24">
        <v>18</v>
      </c>
      <c r="LX21" s="24">
        <v>15540000</v>
      </c>
      <c r="LY21" s="24">
        <v>21</v>
      </c>
      <c r="LZ21" s="24">
        <v>20139556</v>
      </c>
      <c r="MA21" s="24">
        <v>61</v>
      </c>
      <c r="MB21" s="24">
        <v>41786612</v>
      </c>
      <c r="MC21" s="24">
        <v>41860658</v>
      </c>
      <c r="MD21" s="24">
        <v>3854787</v>
      </c>
      <c r="ME21" s="38">
        <v>9.2100000000000001E-2</v>
      </c>
      <c r="MF21" s="24">
        <v>12</v>
      </c>
      <c r="MG21" s="24">
        <v>15380000</v>
      </c>
      <c r="MH21" s="24">
        <v>18</v>
      </c>
      <c r="MI21" s="24">
        <v>13150412</v>
      </c>
      <c r="MJ21" s="24">
        <v>55</v>
      </c>
      <c r="MK21" s="24">
        <v>44016200</v>
      </c>
      <c r="ML21" s="24">
        <v>40481207</v>
      </c>
      <c r="MM21" s="24">
        <v>3652769</v>
      </c>
      <c r="MN21" s="38">
        <v>9.0200000000000002E-2</v>
      </c>
      <c r="MO21" s="24">
        <v>11</v>
      </c>
      <c r="MP21" s="24">
        <v>16910000</v>
      </c>
      <c r="MQ21" s="24">
        <v>10</v>
      </c>
      <c r="MR21" s="24">
        <v>14663356</v>
      </c>
      <c r="MS21" s="24">
        <v>56</v>
      </c>
      <c r="MT21" s="24">
        <v>46262844</v>
      </c>
      <c r="MU21" s="24">
        <v>43981797</v>
      </c>
      <c r="MV21" s="24">
        <v>4190341</v>
      </c>
      <c r="MW21" s="38">
        <v>9.5299999999999996E-2</v>
      </c>
      <c r="MX21" s="24">
        <v>4</v>
      </c>
      <c r="MY21" s="24">
        <v>5730000</v>
      </c>
      <c r="MZ21" s="24">
        <v>15</v>
      </c>
      <c r="NA21" s="24">
        <v>15091427</v>
      </c>
      <c r="NB21" s="24">
        <v>45</v>
      </c>
      <c r="NC21" s="24">
        <v>36901417</v>
      </c>
      <c r="ND21" s="24">
        <v>40323782</v>
      </c>
      <c r="NE21" s="24">
        <v>4051087</v>
      </c>
      <c r="NF21" s="38">
        <v>0.10050000000000001</v>
      </c>
      <c r="NG21" s="24">
        <v>4</v>
      </c>
      <c r="NH21" s="24">
        <v>4200000</v>
      </c>
      <c r="NI21" s="24">
        <v>13</v>
      </c>
      <c r="NJ21" s="24">
        <v>12098096</v>
      </c>
      <c r="NK21" s="24">
        <v>36</v>
      </c>
      <c r="NL21" s="24">
        <v>29003321</v>
      </c>
      <c r="NM21" s="24">
        <v>34314447</v>
      </c>
      <c r="NN21" s="24">
        <v>3390898</v>
      </c>
      <c r="NO21" s="38">
        <v>9.8799999999999999E-2</v>
      </c>
      <c r="NP21" s="24">
        <v>2</v>
      </c>
      <c r="NQ21" s="24">
        <v>3290000</v>
      </c>
      <c r="NR21" s="24">
        <v>4</v>
      </c>
      <c r="NS21" s="24">
        <v>8455788</v>
      </c>
      <c r="NT21" s="24">
        <v>34</v>
      </c>
      <c r="NU21" s="24">
        <v>23837533</v>
      </c>
      <c r="NV21" s="24">
        <v>26106905</v>
      </c>
      <c r="NW21" s="24">
        <v>2560117</v>
      </c>
      <c r="NX21" s="38">
        <v>9.8100000000000007E-2</v>
      </c>
      <c r="NY21" s="24">
        <v>2</v>
      </c>
      <c r="NZ21" s="24">
        <v>2900000</v>
      </c>
      <c r="OA21" s="24">
        <v>7</v>
      </c>
      <c r="OB21" s="24">
        <v>8082093</v>
      </c>
      <c r="OC21" s="24">
        <v>29</v>
      </c>
      <c r="OD21" s="24">
        <v>18655440</v>
      </c>
      <c r="OE21" s="24">
        <v>20166708</v>
      </c>
      <c r="OF21" s="24">
        <v>1863701</v>
      </c>
      <c r="OG21" s="38">
        <v>9.2399999999999996E-2</v>
      </c>
      <c r="OH21" s="24">
        <v>3</v>
      </c>
      <c r="OI21" s="24">
        <v>5380000</v>
      </c>
      <c r="OJ21" s="24">
        <v>8</v>
      </c>
      <c r="OK21" s="24">
        <v>7342015</v>
      </c>
      <c r="OL21" s="24">
        <v>24</v>
      </c>
      <c r="OM21" s="24">
        <v>16693425</v>
      </c>
      <c r="ON21" s="24">
        <v>17578874</v>
      </c>
      <c r="OO21" s="24">
        <v>1576904</v>
      </c>
      <c r="OP21" s="38">
        <v>8.9700000000000002E-2</v>
      </c>
      <c r="OQ21" s="24">
        <v>1</v>
      </c>
      <c r="OR21" s="24">
        <v>1170000</v>
      </c>
      <c r="OS21" s="24">
        <v>12</v>
      </c>
      <c r="OT21" s="24">
        <v>6854629</v>
      </c>
      <c r="OU21" s="24">
        <v>13</v>
      </c>
      <c r="OV21" s="24">
        <v>11008796</v>
      </c>
      <c r="OW21" s="24">
        <v>13252587</v>
      </c>
      <c r="OX21" s="24">
        <v>1288380</v>
      </c>
      <c r="OY21" s="38">
        <v>9.7199999999999995E-2</v>
      </c>
    </row>
    <row r="22" spans="1:424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  <c r="K22" s="24"/>
      <c r="L22" s="24"/>
      <c r="M22" s="24"/>
      <c r="N22" s="24"/>
      <c r="O22" s="24"/>
      <c r="P22" s="24"/>
      <c r="Q22" s="24"/>
      <c r="R22" s="24"/>
      <c r="S22" s="38"/>
      <c r="T22" s="24"/>
      <c r="U22" s="24"/>
      <c r="V22" s="24"/>
      <c r="W22" s="24"/>
      <c r="X22" s="24"/>
      <c r="Y22" s="24"/>
      <c r="Z22" s="24"/>
      <c r="AA22" s="24"/>
      <c r="AB22" s="38"/>
      <c r="AC22" s="24"/>
      <c r="AD22" s="24"/>
      <c r="AE22" s="24"/>
      <c r="AF22" s="24"/>
      <c r="AG22" s="24"/>
      <c r="AH22" s="24"/>
      <c r="AI22" s="24"/>
      <c r="AJ22" s="24"/>
      <c r="AK22" s="38"/>
      <c r="AL22" s="24"/>
      <c r="AM22" s="24"/>
      <c r="AN22" s="24"/>
      <c r="AO22" s="24"/>
      <c r="AP22" s="24"/>
      <c r="AQ22" s="24"/>
      <c r="AR22" s="24"/>
      <c r="AS22" s="24"/>
      <c r="AT22" s="38"/>
      <c r="AU22" s="24"/>
      <c r="AV22" s="24"/>
      <c r="AW22" s="24"/>
      <c r="AX22" s="24"/>
      <c r="AY22" s="24"/>
      <c r="AZ22" s="24"/>
      <c r="BA22" s="24"/>
      <c r="BB22" s="24"/>
      <c r="BC22" s="38"/>
      <c r="BD22" s="24"/>
      <c r="BE22" s="24"/>
      <c r="BF22" s="24"/>
      <c r="BG22" s="24"/>
      <c r="BH22" s="24"/>
      <c r="BI22" s="24"/>
      <c r="BJ22" s="24"/>
      <c r="BK22" s="24"/>
      <c r="BL22" s="38"/>
      <c r="BM22" s="24"/>
      <c r="BN22" s="24"/>
      <c r="BO22" s="24"/>
      <c r="BP22" s="24"/>
      <c r="BQ22" s="24"/>
      <c r="BR22" s="24"/>
      <c r="BS22" s="24"/>
      <c r="BT22" s="24"/>
      <c r="BU22" s="38"/>
      <c r="BV22" s="24"/>
      <c r="BW22" s="24"/>
      <c r="BX22" s="24"/>
      <c r="BY22" s="24"/>
      <c r="BZ22" s="24"/>
      <c r="CA22" s="24"/>
      <c r="CB22" s="24"/>
      <c r="CC22" s="24"/>
      <c r="CD22" s="38"/>
      <c r="CE22" s="24"/>
      <c r="CF22" s="24"/>
      <c r="CG22" s="24"/>
      <c r="CH22" s="24"/>
      <c r="CI22" s="24"/>
      <c r="CJ22" s="24"/>
      <c r="CK22" s="24"/>
      <c r="CL22" s="24"/>
      <c r="CM22" s="38"/>
      <c r="CN22" s="24"/>
      <c r="CO22" s="24"/>
      <c r="CP22" s="24"/>
      <c r="CQ22" s="24"/>
      <c r="CR22" s="24"/>
      <c r="CS22" s="24"/>
      <c r="CT22" s="24"/>
      <c r="CU22" s="24"/>
      <c r="CV22" s="38"/>
      <c r="CW22" s="24"/>
      <c r="CX22" s="24"/>
      <c r="CY22" s="24"/>
      <c r="CZ22" s="24"/>
      <c r="DA22" s="24"/>
      <c r="DB22" s="24"/>
      <c r="DC22" s="24"/>
      <c r="DD22" s="24"/>
      <c r="DE22" s="38"/>
      <c r="DF22" s="24"/>
      <c r="DG22" s="24"/>
      <c r="DH22" s="24"/>
      <c r="DI22" s="24"/>
      <c r="DJ22" s="24"/>
      <c r="DK22" s="24"/>
      <c r="DL22" s="24"/>
      <c r="DM22" s="24"/>
      <c r="DN22" s="38"/>
      <c r="DO22" s="24"/>
      <c r="DP22" s="24"/>
      <c r="DQ22" s="24"/>
      <c r="DR22" s="24"/>
      <c r="DS22" s="24"/>
      <c r="DT22" s="24"/>
      <c r="DU22" s="24"/>
      <c r="DV22" s="24"/>
      <c r="DW22" s="38"/>
      <c r="DX22" s="24"/>
      <c r="DY22" s="24"/>
      <c r="DZ22" s="24"/>
      <c r="EA22" s="24"/>
      <c r="EB22" s="24"/>
      <c r="EC22" s="24"/>
      <c r="ED22" s="24"/>
      <c r="EE22" s="24"/>
      <c r="EF22" s="38"/>
      <c r="EG22" s="24"/>
      <c r="EH22" s="24"/>
      <c r="EI22" s="24"/>
      <c r="EJ22" s="24"/>
      <c r="EK22" s="24"/>
      <c r="EL22" s="24"/>
      <c r="EM22" s="24"/>
      <c r="EN22" s="24"/>
      <c r="EO22" s="38"/>
      <c r="EP22" s="24"/>
      <c r="EQ22" s="24"/>
      <c r="ER22" s="24"/>
      <c r="ES22" s="24"/>
      <c r="ET22" s="24"/>
      <c r="EU22" s="24"/>
      <c r="EV22" s="24"/>
      <c r="EW22" s="24"/>
      <c r="EX22" s="38"/>
      <c r="EY22" s="24"/>
      <c r="EZ22" s="24"/>
      <c r="FA22" s="24"/>
      <c r="FB22" s="24"/>
      <c r="FC22" s="24"/>
      <c r="FD22" s="24"/>
      <c r="FE22" s="24"/>
      <c r="FF22" s="24"/>
      <c r="FG22" s="38"/>
      <c r="FH22" s="24"/>
      <c r="FI22" s="24"/>
      <c r="FJ22" s="24"/>
      <c r="FK22" s="24"/>
      <c r="FL22" s="24"/>
      <c r="FM22" s="24"/>
      <c r="FN22" s="24"/>
      <c r="FO22" s="24"/>
      <c r="FP22" s="38"/>
      <c r="FQ22" s="24"/>
      <c r="FR22" s="24"/>
      <c r="FS22" s="24"/>
      <c r="FT22" s="24"/>
      <c r="FU22" s="24"/>
      <c r="FV22" s="24"/>
      <c r="FW22" s="24"/>
      <c r="FX22" s="24"/>
      <c r="FY22" s="38"/>
      <c r="FZ22" s="24"/>
      <c r="GA22" s="24"/>
      <c r="GB22" s="24"/>
      <c r="GC22" s="24"/>
      <c r="GD22" s="24"/>
      <c r="GE22" s="24"/>
      <c r="GF22" s="24"/>
      <c r="GG22" s="24"/>
      <c r="GH22" s="38"/>
      <c r="GI22" s="24"/>
      <c r="GJ22" s="24"/>
      <c r="GK22" s="24"/>
      <c r="GL22" s="24"/>
      <c r="GM22" s="24"/>
      <c r="GN22" s="24"/>
      <c r="GO22" s="24"/>
      <c r="GP22" s="24"/>
      <c r="GQ22" s="38"/>
      <c r="GR22" s="24"/>
      <c r="GS22" s="24"/>
      <c r="GT22" s="24"/>
      <c r="GU22" s="24"/>
      <c r="GV22" s="24"/>
      <c r="GW22" s="24"/>
      <c r="GX22" s="24"/>
      <c r="GY22" s="24"/>
      <c r="GZ22" s="38"/>
      <c r="HA22" s="24"/>
      <c r="HB22" s="24"/>
      <c r="HC22" s="24"/>
      <c r="HD22" s="24"/>
      <c r="HE22" s="24"/>
      <c r="HF22" s="24"/>
      <c r="HG22" s="24"/>
      <c r="HH22" s="24"/>
      <c r="HI22" s="38"/>
      <c r="HJ22" s="24"/>
      <c r="HK22" s="24"/>
      <c r="HL22" s="24"/>
      <c r="HM22" s="24"/>
      <c r="HN22" s="24"/>
      <c r="HO22" s="24"/>
      <c r="HP22" s="24"/>
      <c r="HQ22" s="24"/>
      <c r="HR22" s="38"/>
      <c r="HS22" s="24"/>
      <c r="HT22" s="24"/>
      <c r="HU22" s="24"/>
      <c r="HV22" s="24"/>
      <c r="HW22" s="24"/>
      <c r="HX22" s="24"/>
      <c r="HY22" s="24"/>
      <c r="HZ22" s="24"/>
      <c r="IA22" s="38"/>
      <c r="IB22" s="24"/>
      <c r="IC22" s="24"/>
      <c r="ID22" s="24"/>
      <c r="IE22" s="24"/>
      <c r="IF22" s="24"/>
      <c r="IG22" s="24"/>
      <c r="IH22" s="24"/>
      <c r="II22" s="24"/>
      <c r="IJ22" s="38"/>
      <c r="IK22" s="24"/>
      <c r="IL22" s="24"/>
      <c r="IM22" s="24"/>
      <c r="IN22" s="24"/>
      <c r="IO22" s="24"/>
      <c r="IP22" s="24"/>
      <c r="IQ22" s="24"/>
      <c r="IR22" s="24"/>
      <c r="IS22" s="38"/>
      <c r="IT22" s="24"/>
      <c r="IU22" s="24"/>
      <c r="IV22" s="24"/>
      <c r="IW22" s="24"/>
      <c r="IX22" s="24"/>
      <c r="IY22" s="24"/>
      <c r="IZ22" s="24"/>
      <c r="JA22" s="24"/>
      <c r="JB22" s="38"/>
      <c r="JC22" s="24"/>
      <c r="JD22" s="24"/>
      <c r="JE22" s="24"/>
      <c r="JF22" s="24"/>
      <c r="JG22" s="24"/>
      <c r="JH22" s="24"/>
      <c r="JI22" s="24"/>
      <c r="JJ22" s="24"/>
      <c r="JK22" s="38"/>
      <c r="JL22" s="24"/>
      <c r="JM22" s="24"/>
      <c r="JN22" s="24"/>
      <c r="JO22" s="24"/>
      <c r="JP22" s="24"/>
      <c r="JQ22" s="24"/>
      <c r="JR22" s="24"/>
      <c r="JS22" s="24"/>
      <c r="JT22" s="38"/>
      <c r="JU22" s="24">
        <v>1</v>
      </c>
      <c r="JV22" s="24">
        <v>2000000</v>
      </c>
      <c r="JW22" s="24">
        <v>0</v>
      </c>
      <c r="JX22" s="24">
        <v>0</v>
      </c>
      <c r="JY22" s="24">
        <v>1</v>
      </c>
      <c r="JZ22" s="24">
        <v>2000000</v>
      </c>
      <c r="KA22" s="24">
        <v>153846</v>
      </c>
      <c r="KB22" s="24">
        <v>0</v>
      </c>
      <c r="KC22" s="38">
        <v>0</v>
      </c>
      <c r="KD22" s="24">
        <v>1</v>
      </c>
      <c r="KE22" s="24">
        <v>1100000</v>
      </c>
      <c r="KF22" s="24">
        <v>0</v>
      </c>
      <c r="KG22" s="24">
        <v>321006</v>
      </c>
      <c r="KH22" s="24">
        <v>2</v>
      </c>
      <c r="KI22" s="24">
        <v>2778994</v>
      </c>
      <c r="KJ22" s="24">
        <v>2113036</v>
      </c>
      <c r="KK22" s="24">
        <v>160799</v>
      </c>
      <c r="KL22" s="38">
        <v>7.6100000000000001E-2</v>
      </c>
      <c r="KM22" s="24">
        <v>2</v>
      </c>
      <c r="KN22" s="24">
        <v>2550000</v>
      </c>
      <c r="KO22" s="24">
        <v>1</v>
      </c>
      <c r="KP22" s="24">
        <v>1417277</v>
      </c>
      <c r="KQ22" s="24">
        <v>3</v>
      </c>
      <c r="KR22" s="24">
        <v>3911717</v>
      </c>
      <c r="KS22" s="24">
        <v>3455097</v>
      </c>
      <c r="KT22" s="24">
        <v>294675</v>
      </c>
      <c r="KU22" s="38">
        <v>8.5300000000000001E-2</v>
      </c>
      <c r="KV22" s="24">
        <v>0</v>
      </c>
      <c r="KW22" s="24">
        <v>0</v>
      </c>
      <c r="KX22" s="24">
        <v>0</v>
      </c>
      <c r="KY22" s="24">
        <v>890426</v>
      </c>
      <c r="KZ22" s="24">
        <v>3</v>
      </c>
      <c r="LA22" s="24">
        <v>3021291</v>
      </c>
      <c r="LB22" s="24">
        <v>3472487</v>
      </c>
      <c r="LC22" s="24">
        <v>313822</v>
      </c>
      <c r="LD22" s="38">
        <v>9.0399999999999994E-2</v>
      </c>
      <c r="LE22" s="24">
        <v>0</v>
      </c>
      <c r="LF22" s="24">
        <v>0</v>
      </c>
      <c r="LG22" s="24">
        <v>1</v>
      </c>
      <c r="LH22" s="24">
        <v>1375416</v>
      </c>
      <c r="LI22" s="24">
        <v>2</v>
      </c>
      <c r="LJ22" s="24">
        <v>1645875</v>
      </c>
      <c r="LK22" s="24">
        <v>2022116</v>
      </c>
      <c r="LL22" s="24">
        <v>189815</v>
      </c>
      <c r="LM22" s="38">
        <v>9.3899999999999997E-2</v>
      </c>
      <c r="LN22" s="24"/>
      <c r="LO22" s="24"/>
      <c r="LP22" s="24">
        <v>1</v>
      </c>
      <c r="LQ22" s="24">
        <v>1605163</v>
      </c>
      <c r="LR22" s="24">
        <v>1</v>
      </c>
      <c r="LS22" s="24">
        <v>40712</v>
      </c>
      <c r="LT22" s="24">
        <v>1078075</v>
      </c>
      <c r="LU22" s="24">
        <v>112107</v>
      </c>
      <c r="LV22" s="38">
        <v>0.104</v>
      </c>
      <c r="LW22" s="24"/>
      <c r="LX22" s="24"/>
      <c r="LY22" s="24">
        <v>1</v>
      </c>
      <c r="LZ22" s="24">
        <v>40712</v>
      </c>
      <c r="MA22" s="24"/>
      <c r="MB22" s="24"/>
      <c r="MC22" s="24"/>
      <c r="MD22" s="24">
        <v>515</v>
      </c>
      <c r="ME22" s="38"/>
      <c r="MF22" s="24"/>
      <c r="MG22" s="24"/>
      <c r="MH22" s="24"/>
      <c r="MI22" s="24"/>
      <c r="MJ22" s="24"/>
      <c r="MK22" s="24"/>
      <c r="ML22" s="24"/>
      <c r="MM22" s="24"/>
      <c r="MN22" s="38"/>
      <c r="MO22" s="24"/>
      <c r="MP22" s="24"/>
      <c r="MQ22" s="24"/>
      <c r="MR22" s="24"/>
      <c r="MS22" s="24"/>
      <c r="MT22" s="24"/>
      <c r="MU22" s="24"/>
      <c r="MV22" s="24"/>
      <c r="MW22" s="38"/>
      <c r="MX22" s="24"/>
      <c r="MY22" s="24"/>
      <c r="MZ22" s="24"/>
      <c r="NA22" s="24"/>
      <c r="NB22" s="24"/>
      <c r="NC22" s="24"/>
      <c r="ND22" s="24"/>
      <c r="NE22" s="24"/>
      <c r="NF22" s="38"/>
      <c r="NG22" s="24"/>
      <c r="NH22" s="24"/>
      <c r="NI22" s="24"/>
      <c r="NJ22" s="24"/>
      <c r="NK22" s="24"/>
      <c r="NL22" s="24"/>
      <c r="NM22" s="24"/>
      <c r="NN22" s="24"/>
      <c r="NO22" s="38"/>
      <c r="NP22" s="24"/>
      <c r="NQ22" s="24"/>
      <c r="NR22" s="24"/>
      <c r="NS22" s="24"/>
      <c r="NT22" s="24"/>
      <c r="NU22" s="24"/>
      <c r="NV22" s="24"/>
      <c r="NW22" s="24"/>
      <c r="NX22" s="38"/>
      <c r="NY22" s="24"/>
      <c r="NZ22" s="24"/>
      <c r="OA22" s="24"/>
      <c r="OB22" s="24"/>
      <c r="OC22" s="24"/>
      <c r="OD22" s="24"/>
      <c r="OE22" s="24"/>
      <c r="OF22" s="24"/>
      <c r="OG22" s="38"/>
      <c r="OH22" s="24"/>
      <c r="OI22" s="24"/>
      <c r="OJ22" s="24"/>
      <c r="OK22" s="24"/>
      <c r="OL22" s="24"/>
      <c r="OM22" s="24"/>
      <c r="ON22" s="24"/>
      <c r="OO22" s="24"/>
      <c r="OP22" s="38"/>
      <c r="OQ22" s="24"/>
      <c r="OR22" s="24"/>
      <c r="OS22" s="24"/>
      <c r="OT22" s="24"/>
      <c r="OU22" s="24"/>
      <c r="OV22" s="24"/>
      <c r="OW22" s="24"/>
      <c r="OX22" s="24"/>
      <c r="OY22" s="38"/>
    </row>
    <row r="23" spans="1:424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  <c r="K23" s="24"/>
      <c r="L23" s="24"/>
      <c r="M23" s="24"/>
      <c r="N23" s="24"/>
      <c r="O23" s="24"/>
      <c r="P23" s="24"/>
      <c r="Q23" s="24"/>
      <c r="R23" s="24"/>
      <c r="S23" s="38"/>
      <c r="T23" s="24"/>
      <c r="U23" s="24"/>
      <c r="V23" s="24"/>
      <c r="W23" s="24"/>
      <c r="X23" s="24"/>
      <c r="Y23" s="24"/>
      <c r="Z23" s="24"/>
      <c r="AA23" s="24"/>
      <c r="AB23" s="38"/>
      <c r="AC23" s="24"/>
      <c r="AD23" s="24"/>
      <c r="AE23" s="24"/>
      <c r="AF23" s="24"/>
      <c r="AG23" s="24"/>
      <c r="AH23" s="24"/>
      <c r="AI23" s="24"/>
      <c r="AJ23" s="24"/>
      <c r="AK23" s="38"/>
      <c r="AL23" s="24"/>
      <c r="AM23" s="24"/>
      <c r="AN23" s="24"/>
      <c r="AO23" s="24"/>
      <c r="AP23" s="24"/>
      <c r="AQ23" s="24"/>
      <c r="AR23" s="24"/>
      <c r="AS23" s="24"/>
      <c r="AT23" s="38"/>
      <c r="AU23" s="24"/>
      <c r="AV23" s="24"/>
      <c r="AW23" s="24"/>
      <c r="AX23" s="24"/>
      <c r="AY23" s="24"/>
      <c r="AZ23" s="24"/>
      <c r="BA23" s="24"/>
      <c r="BB23" s="24"/>
      <c r="BC23" s="38"/>
      <c r="BD23" s="24"/>
      <c r="BE23" s="24"/>
      <c r="BF23" s="24"/>
      <c r="BG23" s="24"/>
      <c r="BH23" s="24"/>
      <c r="BI23" s="24"/>
      <c r="BJ23" s="24"/>
      <c r="BK23" s="24"/>
      <c r="BL23" s="38"/>
      <c r="BM23" s="24"/>
      <c r="BN23" s="24"/>
      <c r="BO23" s="24"/>
      <c r="BP23" s="24"/>
      <c r="BQ23" s="24"/>
      <c r="BR23" s="24"/>
      <c r="BS23" s="24"/>
      <c r="BT23" s="24"/>
      <c r="BU23" s="38"/>
      <c r="BV23" s="24"/>
      <c r="BW23" s="24"/>
      <c r="BX23" s="24"/>
      <c r="BY23" s="24"/>
      <c r="BZ23" s="24"/>
      <c r="CA23" s="24"/>
      <c r="CB23" s="24"/>
      <c r="CC23" s="24"/>
      <c r="CD23" s="38"/>
      <c r="CE23" s="24"/>
      <c r="CF23" s="24"/>
      <c r="CG23" s="24"/>
      <c r="CH23" s="24"/>
      <c r="CI23" s="24"/>
      <c r="CJ23" s="24"/>
      <c r="CK23" s="24"/>
      <c r="CL23" s="24"/>
      <c r="CM23" s="38"/>
      <c r="CN23" s="24"/>
      <c r="CO23" s="24"/>
      <c r="CP23" s="24"/>
      <c r="CQ23" s="24"/>
      <c r="CR23" s="24"/>
      <c r="CS23" s="24"/>
      <c r="CT23" s="24"/>
      <c r="CU23" s="24"/>
      <c r="CV23" s="38"/>
      <c r="CW23" s="24"/>
      <c r="CX23" s="24"/>
      <c r="CY23" s="24"/>
      <c r="CZ23" s="24"/>
      <c r="DA23" s="24"/>
      <c r="DB23" s="24"/>
      <c r="DC23" s="24"/>
      <c r="DD23" s="24"/>
      <c r="DE23" s="38"/>
      <c r="DF23" s="24"/>
      <c r="DG23" s="24"/>
      <c r="DH23" s="24"/>
      <c r="DI23" s="24"/>
      <c r="DJ23" s="24"/>
      <c r="DK23" s="24"/>
      <c r="DL23" s="24"/>
      <c r="DM23" s="24"/>
      <c r="DN23" s="38"/>
      <c r="DO23" s="24"/>
      <c r="DP23" s="24"/>
      <c r="DQ23" s="24"/>
      <c r="DR23" s="24"/>
      <c r="DS23" s="24"/>
      <c r="DT23" s="24"/>
      <c r="DU23" s="24"/>
      <c r="DV23" s="24"/>
      <c r="DW23" s="38"/>
      <c r="DX23" s="24"/>
      <c r="DY23" s="24"/>
      <c r="DZ23" s="24"/>
      <c r="EA23" s="24"/>
      <c r="EB23" s="24"/>
      <c r="EC23" s="24"/>
      <c r="ED23" s="24"/>
      <c r="EE23" s="24"/>
      <c r="EF23" s="38"/>
      <c r="EG23" s="24"/>
      <c r="EH23" s="24"/>
      <c r="EI23" s="24"/>
      <c r="EJ23" s="24"/>
      <c r="EK23" s="24"/>
      <c r="EL23" s="24"/>
      <c r="EM23" s="24"/>
      <c r="EN23" s="24"/>
      <c r="EO23" s="38"/>
      <c r="EP23" s="24"/>
      <c r="EQ23" s="24"/>
      <c r="ER23" s="24"/>
      <c r="ES23" s="24"/>
      <c r="ET23" s="24"/>
      <c r="EU23" s="24"/>
      <c r="EV23" s="24"/>
      <c r="EW23" s="24"/>
      <c r="EX23" s="38"/>
      <c r="EY23" s="24"/>
      <c r="EZ23" s="24"/>
      <c r="FA23" s="24"/>
      <c r="FB23" s="24"/>
      <c r="FC23" s="24"/>
      <c r="FD23" s="24"/>
      <c r="FE23" s="24"/>
      <c r="FF23" s="24"/>
      <c r="FG23" s="38"/>
      <c r="FH23" s="24"/>
      <c r="FI23" s="24"/>
      <c r="FJ23" s="24"/>
      <c r="FK23" s="24"/>
      <c r="FL23" s="24"/>
      <c r="FM23" s="24"/>
      <c r="FN23" s="24"/>
      <c r="FO23" s="24"/>
      <c r="FP23" s="38"/>
      <c r="FQ23" s="24"/>
      <c r="FR23" s="24"/>
      <c r="FS23" s="24"/>
      <c r="FT23" s="24"/>
      <c r="FU23" s="24"/>
      <c r="FV23" s="24"/>
      <c r="FW23" s="24"/>
      <c r="FX23" s="24"/>
      <c r="FY23" s="38"/>
      <c r="FZ23" s="24"/>
      <c r="GA23" s="24"/>
      <c r="GB23" s="24"/>
      <c r="GC23" s="24"/>
      <c r="GD23" s="24"/>
      <c r="GE23" s="24"/>
      <c r="GF23" s="24"/>
      <c r="GG23" s="24"/>
      <c r="GH23" s="38"/>
      <c r="GI23" s="24"/>
      <c r="GJ23" s="24"/>
      <c r="GK23" s="24"/>
      <c r="GL23" s="24"/>
      <c r="GM23" s="24"/>
      <c r="GN23" s="24"/>
      <c r="GO23" s="24"/>
      <c r="GP23" s="24"/>
      <c r="GQ23" s="38"/>
      <c r="GR23" s="24"/>
      <c r="GS23" s="24"/>
      <c r="GT23" s="24"/>
      <c r="GU23" s="24"/>
      <c r="GV23" s="24"/>
      <c r="GW23" s="24"/>
      <c r="GX23" s="24"/>
      <c r="GY23" s="24"/>
      <c r="GZ23" s="38"/>
      <c r="HA23" s="24"/>
      <c r="HB23" s="24"/>
      <c r="HC23" s="24"/>
      <c r="HD23" s="24"/>
      <c r="HE23" s="24"/>
      <c r="HF23" s="24"/>
      <c r="HG23" s="24"/>
      <c r="HH23" s="24"/>
      <c r="HI23" s="38"/>
      <c r="HJ23" s="24"/>
      <c r="HK23" s="24"/>
      <c r="HL23" s="24"/>
      <c r="HM23" s="24"/>
      <c r="HN23" s="24"/>
      <c r="HO23" s="24"/>
      <c r="HP23" s="24"/>
      <c r="HQ23" s="24"/>
      <c r="HR23" s="38"/>
      <c r="HS23" s="24"/>
      <c r="HT23" s="24"/>
      <c r="HU23" s="24"/>
      <c r="HV23" s="24"/>
      <c r="HW23" s="24"/>
      <c r="HX23" s="24"/>
      <c r="HY23" s="24"/>
      <c r="HZ23" s="24"/>
      <c r="IA23" s="38"/>
      <c r="IB23" s="24"/>
      <c r="IC23" s="24"/>
      <c r="ID23" s="24"/>
      <c r="IE23" s="24"/>
      <c r="IF23" s="24"/>
      <c r="IG23" s="24"/>
      <c r="IH23" s="24"/>
      <c r="II23" s="24"/>
      <c r="IJ23" s="38"/>
      <c r="IK23" s="24"/>
      <c r="IL23" s="24"/>
      <c r="IM23" s="24"/>
      <c r="IN23" s="24"/>
      <c r="IO23" s="24"/>
      <c r="IP23" s="24"/>
      <c r="IQ23" s="24"/>
      <c r="IR23" s="24"/>
      <c r="IS23" s="38"/>
      <c r="IT23" s="24"/>
      <c r="IU23" s="24"/>
      <c r="IV23" s="24"/>
      <c r="IW23" s="24"/>
      <c r="IX23" s="24"/>
      <c r="IY23" s="24"/>
      <c r="IZ23" s="24"/>
      <c r="JA23" s="24"/>
      <c r="JB23" s="38"/>
      <c r="JC23" s="24"/>
      <c r="JD23" s="24"/>
      <c r="JE23" s="24"/>
      <c r="JF23" s="24"/>
      <c r="JG23" s="24"/>
      <c r="JH23" s="24"/>
      <c r="JI23" s="24"/>
      <c r="JJ23" s="24"/>
      <c r="JK23" s="38"/>
      <c r="JL23" s="24"/>
      <c r="JM23" s="24"/>
      <c r="JN23" s="24"/>
      <c r="JO23" s="24"/>
      <c r="JP23" s="24"/>
      <c r="JQ23" s="24"/>
      <c r="JR23" s="24"/>
      <c r="JS23" s="24"/>
      <c r="JT23" s="38"/>
      <c r="JU23" s="24"/>
      <c r="JV23" s="24"/>
      <c r="JW23" s="24"/>
      <c r="JX23" s="24"/>
      <c r="JY23" s="24"/>
      <c r="JZ23" s="24"/>
      <c r="KA23" s="24"/>
      <c r="KB23" s="24"/>
      <c r="KC23" s="38"/>
      <c r="KD23" s="24"/>
      <c r="KE23" s="24"/>
      <c r="KF23" s="24"/>
      <c r="KG23" s="24"/>
      <c r="KH23" s="24"/>
      <c r="KI23" s="24"/>
      <c r="KJ23" s="24"/>
      <c r="KK23" s="24"/>
      <c r="KL23" s="38"/>
      <c r="KM23" s="24"/>
      <c r="KN23" s="24"/>
      <c r="KO23" s="24"/>
      <c r="KP23" s="24"/>
      <c r="KQ23" s="24"/>
      <c r="KR23" s="24"/>
      <c r="KS23" s="24"/>
      <c r="KT23" s="24"/>
      <c r="KU23" s="38"/>
      <c r="KV23" s="24">
        <v>211</v>
      </c>
      <c r="KW23" s="24">
        <v>142393000</v>
      </c>
      <c r="KX23" s="24">
        <v>18</v>
      </c>
      <c r="KY23" s="24">
        <v>24066208</v>
      </c>
      <c r="KZ23" s="24">
        <v>193</v>
      </c>
      <c r="LA23" s="24">
        <v>118326792</v>
      </c>
      <c r="LB23" s="24">
        <v>57373638</v>
      </c>
      <c r="LC23" s="24">
        <v>6044647</v>
      </c>
      <c r="LD23" s="38">
        <v>0.10539999999999999</v>
      </c>
      <c r="LE23" s="24">
        <v>165</v>
      </c>
      <c r="LF23" s="24">
        <v>74645610</v>
      </c>
      <c r="LG23" s="24">
        <v>72</v>
      </c>
      <c r="LH23" s="24">
        <v>50806260</v>
      </c>
      <c r="LI23" s="24">
        <v>286</v>
      </c>
      <c r="LJ23" s="24">
        <v>142166142</v>
      </c>
      <c r="LK23" s="24">
        <v>135154892</v>
      </c>
      <c r="LL23" s="24">
        <v>15644182</v>
      </c>
      <c r="LM23" s="38">
        <v>0.1158</v>
      </c>
      <c r="LN23" s="24">
        <v>108</v>
      </c>
      <c r="LO23" s="24">
        <v>32930000</v>
      </c>
      <c r="LP23" s="24">
        <v>129</v>
      </c>
      <c r="LQ23" s="24">
        <v>63462460</v>
      </c>
      <c r="LR23" s="24">
        <v>265</v>
      </c>
      <c r="LS23" s="24">
        <v>111633682</v>
      </c>
      <c r="LT23" s="24">
        <v>128564937</v>
      </c>
      <c r="LU23" s="24">
        <v>14812473</v>
      </c>
      <c r="LV23" s="38">
        <v>0.1152</v>
      </c>
      <c r="LW23" s="24">
        <v>27</v>
      </c>
      <c r="LX23" s="24">
        <v>19120000</v>
      </c>
      <c r="LY23" s="24">
        <v>110</v>
      </c>
      <c r="LZ23" s="24">
        <v>52759453</v>
      </c>
      <c r="MA23" s="24">
        <v>182</v>
      </c>
      <c r="MB23" s="24">
        <v>77994229</v>
      </c>
      <c r="MC23" s="24">
        <v>92941572</v>
      </c>
      <c r="MD23" s="24">
        <v>10231114</v>
      </c>
      <c r="ME23" s="38">
        <v>0.1101</v>
      </c>
      <c r="MF23" s="24">
        <v>9</v>
      </c>
      <c r="MG23" s="24">
        <v>6940000</v>
      </c>
      <c r="MH23" s="24">
        <v>84</v>
      </c>
      <c r="MI23" s="24">
        <v>32495541</v>
      </c>
      <c r="MJ23" s="24">
        <v>107</v>
      </c>
      <c r="MK23" s="24">
        <v>52438688</v>
      </c>
      <c r="ML23" s="24">
        <v>60991620</v>
      </c>
      <c r="MM23" s="24">
        <v>6391639</v>
      </c>
      <c r="MN23" s="38">
        <v>0.1048</v>
      </c>
      <c r="MO23" s="24">
        <v>6</v>
      </c>
      <c r="MP23" s="24">
        <v>8170000</v>
      </c>
      <c r="MQ23" s="24">
        <v>48</v>
      </c>
      <c r="MR23" s="24">
        <v>17795996</v>
      </c>
      <c r="MS23" s="24">
        <v>65</v>
      </c>
      <c r="MT23" s="24">
        <v>42812692</v>
      </c>
      <c r="MU23" s="24">
        <v>47568577</v>
      </c>
      <c r="MV23" s="24">
        <v>5328042</v>
      </c>
      <c r="MW23" s="38">
        <v>0.112</v>
      </c>
      <c r="MX23" s="24">
        <v>3</v>
      </c>
      <c r="MY23" s="24">
        <v>2520000</v>
      </c>
      <c r="MZ23" s="24">
        <v>20</v>
      </c>
      <c r="NA23" s="24">
        <v>12591096</v>
      </c>
      <c r="NB23" s="24">
        <v>48</v>
      </c>
      <c r="NC23" s="24">
        <v>32741596</v>
      </c>
      <c r="ND23" s="24">
        <v>37764702</v>
      </c>
      <c r="NE23" s="24">
        <v>4046383</v>
      </c>
      <c r="NF23" s="38">
        <v>0.1071</v>
      </c>
      <c r="NG23" s="24">
        <v>16</v>
      </c>
      <c r="NH23" s="24">
        <v>25750000</v>
      </c>
      <c r="NI23" s="24">
        <v>16</v>
      </c>
      <c r="NJ23" s="24">
        <v>10186176</v>
      </c>
      <c r="NK23" s="24">
        <v>48</v>
      </c>
      <c r="NL23" s="24">
        <v>48305420</v>
      </c>
      <c r="NM23" s="24">
        <v>41083967</v>
      </c>
      <c r="NN23" s="24">
        <v>4058508</v>
      </c>
      <c r="NO23" s="38">
        <v>9.8799999999999999E-2</v>
      </c>
      <c r="NP23" s="24">
        <v>7</v>
      </c>
      <c r="NQ23" s="24">
        <v>13660000</v>
      </c>
      <c r="NR23" s="24">
        <v>13</v>
      </c>
      <c r="NS23" s="24">
        <v>13359380</v>
      </c>
      <c r="NT23" s="24">
        <v>42</v>
      </c>
      <c r="NU23" s="24">
        <v>48606040</v>
      </c>
      <c r="NV23" s="24">
        <v>49536233</v>
      </c>
      <c r="NW23" s="24">
        <v>4678130</v>
      </c>
      <c r="NX23" s="38">
        <v>9.4399999999999998E-2</v>
      </c>
      <c r="NY23" s="24">
        <v>10</v>
      </c>
      <c r="NZ23" s="24">
        <v>13380000</v>
      </c>
      <c r="OA23" s="24">
        <v>7</v>
      </c>
      <c r="OB23" s="24">
        <v>13862559</v>
      </c>
      <c r="OC23" s="24">
        <v>45</v>
      </c>
      <c r="OD23" s="24">
        <v>48123481</v>
      </c>
      <c r="OE23" s="24">
        <v>49862333</v>
      </c>
      <c r="OF23" s="24">
        <v>4948559</v>
      </c>
      <c r="OG23" s="38">
        <v>9.9199999999999997E-2</v>
      </c>
      <c r="OH23" s="24">
        <v>4</v>
      </c>
      <c r="OI23" s="24">
        <v>4700000</v>
      </c>
      <c r="OJ23" s="24">
        <v>5</v>
      </c>
      <c r="OK23" s="24">
        <v>14755103</v>
      </c>
      <c r="OL23" s="24">
        <v>44</v>
      </c>
      <c r="OM23" s="24">
        <v>38068378</v>
      </c>
      <c r="ON23" s="24">
        <v>43513718</v>
      </c>
      <c r="OO23" s="24">
        <v>3964490</v>
      </c>
      <c r="OP23" s="38">
        <v>9.11E-2</v>
      </c>
      <c r="OQ23" s="24">
        <v>8</v>
      </c>
      <c r="OR23" s="24">
        <v>13360000</v>
      </c>
      <c r="OS23" s="24">
        <v>7</v>
      </c>
      <c r="OT23" s="24">
        <v>11943157</v>
      </c>
      <c r="OU23" s="24">
        <v>45</v>
      </c>
      <c r="OV23" s="24">
        <v>39485221</v>
      </c>
      <c r="OW23" s="24">
        <v>39808914</v>
      </c>
      <c r="OX23" s="24">
        <v>3544667</v>
      </c>
      <c r="OY23" s="38">
        <v>8.8999999999999996E-2</v>
      </c>
    </row>
    <row r="24" spans="1:424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  <c r="K24" s="24"/>
      <c r="L24" s="24"/>
      <c r="M24" s="24"/>
      <c r="N24" s="24"/>
      <c r="O24" s="24"/>
      <c r="P24" s="24"/>
      <c r="Q24" s="24"/>
      <c r="R24" s="24"/>
      <c r="S24" s="38"/>
      <c r="T24" s="24"/>
      <c r="U24" s="24"/>
      <c r="V24" s="24"/>
      <c r="W24" s="24"/>
      <c r="X24" s="24"/>
      <c r="Y24" s="24"/>
      <c r="Z24" s="24"/>
      <c r="AA24" s="24"/>
      <c r="AB24" s="38"/>
      <c r="AC24" s="24"/>
      <c r="AD24" s="24"/>
      <c r="AE24" s="24"/>
      <c r="AF24" s="24"/>
      <c r="AG24" s="24"/>
      <c r="AH24" s="24"/>
      <c r="AI24" s="24"/>
      <c r="AJ24" s="24"/>
      <c r="AK24" s="38"/>
      <c r="AL24" s="24"/>
      <c r="AM24" s="24"/>
      <c r="AN24" s="24"/>
      <c r="AO24" s="24"/>
      <c r="AP24" s="24"/>
      <c r="AQ24" s="24"/>
      <c r="AR24" s="24"/>
      <c r="AS24" s="24"/>
      <c r="AT24" s="38"/>
      <c r="AU24" s="24"/>
      <c r="AV24" s="24"/>
      <c r="AW24" s="24"/>
      <c r="AX24" s="24"/>
      <c r="AY24" s="24"/>
      <c r="AZ24" s="24"/>
      <c r="BA24" s="24"/>
      <c r="BB24" s="24"/>
      <c r="BC24" s="38"/>
      <c r="BD24" s="24"/>
      <c r="BE24" s="24"/>
      <c r="BF24" s="24"/>
      <c r="BG24" s="24"/>
      <c r="BH24" s="24"/>
      <c r="BI24" s="24"/>
      <c r="BJ24" s="24"/>
      <c r="BK24" s="24"/>
      <c r="BL24" s="38"/>
      <c r="BM24" s="24"/>
      <c r="BN24" s="24"/>
      <c r="BO24" s="24"/>
      <c r="BP24" s="24"/>
      <c r="BQ24" s="24"/>
      <c r="BR24" s="24"/>
      <c r="BS24" s="24"/>
      <c r="BT24" s="24"/>
      <c r="BU24" s="38"/>
      <c r="BV24" s="24"/>
      <c r="BW24" s="24"/>
      <c r="BX24" s="24"/>
      <c r="BY24" s="24"/>
      <c r="BZ24" s="24"/>
      <c r="CA24" s="24"/>
      <c r="CB24" s="24"/>
      <c r="CC24" s="24"/>
      <c r="CD24" s="38"/>
      <c r="CE24" s="24"/>
      <c r="CF24" s="24"/>
      <c r="CG24" s="24"/>
      <c r="CH24" s="24"/>
      <c r="CI24" s="24"/>
      <c r="CJ24" s="24"/>
      <c r="CK24" s="24"/>
      <c r="CL24" s="24"/>
      <c r="CM24" s="38"/>
      <c r="CN24" s="24"/>
      <c r="CO24" s="24"/>
      <c r="CP24" s="24"/>
      <c r="CQ24" s="24"/>
      <c r="CR24" s="24"/>
      <c r="CS24" s="24"/>
      <c r="CT24" s="24"/>
      <c r="CU24" s="24"/>
      <c r="CV24" s="38"/>
      <c r="CW24" s="24"/>
      <c r="CX24" s="24"/>
      <c r="CY24" s="24"/>
      <c r="CZ24" s="24"/>
      <c r="DA24" s="24"/>
      <c r="DB24" s="24"/>
      <c r="DC24" s="24"/>
      <c r="DD24" s="24"/>
      <c r="DE24" s="38"/>
      <c r="DF24" s="24"/>
      <c r="DG24" s="24"/>
      <c r="DH24" s="24"/>
      <c r="DI24" s="24"/>
      <c r="DJ24" s="24"/>
      <c r="DK24" s="24"/>
      <c r="DL24" s="24"/>
      <c r="DM24" s="24"/>
      <c r="DN24" s="38"/>
      <c r="DO24" s="24"/>
      <c r="DP24" s="24"/>
      <c r="DQ24" s="24"/>
      <c r="DR24" s="24"/>
      <c r="DS24" s="24"/>
      <c r="DT24" s="24"/>
      <c r="DU24" s="24"/>
      <c r="DV24" s="24"/>
      <c r="DW24" s="38"/>
      <c r="DX24" s="24"/>
      <c r="DY24" s="24"/>
      <c r="DZ24" s="24"/>
      <c r="EA24" s="24"/>
      <c r="EB24" s="24"/>
      <c r="EC24" s="24"/>
      <c r="ED24" s="24"/>
      <c r="EE24" s="24"/>
      <c r="EF24" s="38"/>
      <c r="EG24" s="24"/>
      <c r="EH24" s="24"/>
      <c r="EI24" s="24"/>
      <c r="EJ24" s="24"/>
      <c r="EK24" s="24"/>
      <c r="EL24" s="24"/>
      <c r="EM24" s="24"/>
      <c r="EN24" s="24"/>
      <c r="EO24" s="38"/>
      <c r="EP24" s="24"/>
      <c r="EQ24" s="24"/>
      <c r="ER24" s="24"/>
      <c r="ES24" s="24"/>
      <c r="ET24" s="24"/>
      <c r="EU24" s="24"/>
      <c r="EV24" s="24"/>
      <c r="EW24" s="24"/>
      <c r="EX24" s="38"/>
      <c r="EY24" s="24"/>
      <c r="EZ24" s="24"/>
      <c r="FA24" s="24"/>
      <c r="FB24" s="24"/>
      <c r="FC24" s="24"/>
      <c r="FD24" s="24"/>
      <c r="FE24" s="24"/>
      <c r="FF24" s="24"/>
      <c r="FG24" s="38"/>
      <c r="FH24" s="24"/>
      <c r="FI24" s="24"/>
      <c r="FJ24" s="24"/>
      <c r="FK24" s="24"/>
      <c r="FL24" s="24"/>
      <c r="FM24" s="24"/>
      <c r="FN24" s="24"/>
      <c r="FO24" s="24"/>
      <c r="FP24" s="38"/>
      <c r="FQ24" s="24"/>
      <c r="FR24" s="24"/>
      <c r="FS24" s="24"/>
      <c r="FT24" s="24"/>
      <c r="FU24" s="24"/>
      <c r="FV24" s="24"/>
      <c r="FW24" s="24"/>
      <c r="FX24" s="24"/>
      <c r="FY24" s="38"/>
      <c r="FZ24" s="24"/>
      <c r="GA24" s="24"/>
      <c r="GB24" s="24"/>
      <c r="GC24" s="24"/>
      <c r="GD24" s="24"/>
      <c r="GE24" s="24"/>
      <c r="GF24" s="24"/>
      <c r="GG24" s="24"/>
      <c r="GH24" s="38"/>
      <c r="GI24" s="24"/>
      <c r="GJ24" s="24"/>
      <c r="GK24" s="24"/>
      <c r="GL24" s="24"/>
      <c r="GM24" s="24"/>
      <c r="GN24" s="24"/>
      <c r="GO24" s="24"/>
      <c r="GP24" s="24"/>
      <c r="GQ24" s="38"/>
      <c r="GR24" s="24"/>
      <c r="GS24" s="24"/>
      <c r="GT24" s="24"/>
      <c r="GU24" s="24"/>
      <c r="GV24" s="24"/>
      <c r="GW24" s="24"/>
      <c r="GX24" s="24"/>
      <c r="GY24" s="24"/>
      <c r="GZ24" s="38"/>
      <c r="HA24" s="24"/>
      <c r="HB24" s="24"/>
      <c r="HC24" s="24"/>
      <c r="HD24" s="24"/>
      <c r="HE24" s="24"/>
      <c r="HF24" s="24"/>
      <c r="HG24" s="24"/>
      <c r="HH24" s="24"/>
      <c r="HI24" s="38"/>
      <c r="HJ24" s="24"/>
      <c r="HK24" s="24"/>
      <c r="HL24" s="24"/>
      <c r="HM24" s="24"/>
      <c r="HN24" s="24"/>
      <c r="HO24" s="24"/>
      <c r="HP24" s="24"/>
      <c r="HQ24" s="24"/>
      <c r="HR24" s="38"/>
      <c r="HS24" s="24"/>
      <c r="HT24" s="24"/>
      <c r="HU24" s="24"/>
      <c r="HV24" s="24"/>
      <c r="HW24" s="24"/>
      <c r="HX24" s="24"/>
      <c r="HY24" s="24"/>
      <c r="HZ24" s="24"/>
      <c r="IA24" s="38"/>
      <c r="IB24" s="24"/>
      <c r="IC24" s="24"/>
      <c r="ID24" s="24"/>
      <c r="IE24" s="24"/>
      <c r="IF24" s="24"/>
      <c r="IG24" s="24"/>
      <c r="IH24" s="24"/>
      <c r="II24" s="24"/>
      <c r="IJ24" s="38"/>
      <c r="IK24" s="24"/>
      <c r="IL24" s="24"/>
      <c r="IM24" s="24"/>
      <c r="IN24" s="24"/>
      <c r="IO24" s="24"/>
      <c r="IP24" s="24"/>
      <c r="IQ24" s="24"/>
      <c r="IR24" s="24"/>
      <c r="IS24" s="38"/>
      <c r="IT24" s="24"/>
      <c r="IU24" s="24"/>
      <c r="IV24" s="24"/>
      <c r="IW24" s="24"/>
      <c r="IX24" s="24"/>
      <c r="IY24" s="24"/>
      <c r="IZ24" s="24"/>
      <c r="JA24" s="24"/>
      <c r="JB24" s="38"/>
      <c r="JC24" s="24"/>
      <c r="JD24" s="24"/>
      <c r="JE24" s="24"/>
      <c r="JF24" s="24"/>
      <c r="JG24" s="24"/>
      <c r="JH24" s="24"/>
      <c r="JI24" s="24"/>
      <c r="JJ24" s="24"/>
      <c r="JK24" s="38"/>
      <c r="JL24" s="24"/>
      <c r="JM24" s="24"/>
      <c r="JN24" s="24"/>
      <c r="JO24" s="24"/>
      <c r="JP24" s="24"/>
      <c r="JQ24" s="24"/>
      <c r="JR24" s="24"/>
      <c r="JS24" s="24"/>
      <c r="JT24" s="38"/>
      <c r="JU24" s="24">
        <v>1</v>
      </c>
      <c r="JV24" s="24">
        <v>500000</v>
      </c>
      <c r="JW24" s="24">
        <v>0</v>
      </c>
      <c r="JX24" s="24">
        <v>6717</v>
      </c>
      <c r="JY24" s="24">
        <v>1</v>
      </c>
      <c r="JZ24" s="24">
        <v>493283</v>
      </c>
      <c r="KA24" s="24">
        <v>76406</v>
      </c>
      <c r="KB24" s="24">
        <v>3493</v>
      </c>
      <c r="KC24" s="38">
        <v>4.5699999999999998E-2</v>
      </c>
      <c r="KD24" s="24">
        <v>2</v>
      </c>
      <c r="KE24" s="24">
        <v>1000000</v>
      </c>
      <c r="KF24" s="24">
        <v>1</v>
      </c>
      <c r="KG24" s="24">
        <v>653759</v>
      </c>
      <c r="KH24" s="24">
        <v>2</v>
      </c>
      <c r="KI24" s="24">
        <v>839524</v>
      </c>
      <c r="KJ24" s="24">
        <v>1009039</v>
      </c>
      <c r="KK24" s="24">
        <v>85786</v>
      </c>
      <c r="KL24" s="38">
        <v>8.5000000000000006E-2</v>
      </c>
      <c r="KM24" s="24">
        <v>5</v>
      </c>
      <c r="KN24" s="24">
        <v>1800000</v>
      </c>
      <c r="KO24" s="24">
        <v>2</v>
      </c>
      <c r="KP24" s="24">
        <v>1394198</v>
      </c>
      <c r="KQ24" s="24">
        <v>5</v>
      </c>
      <c r="KR24" s="24">
        <v>1245326</v>
      </c>
      <c r="KS24" s="24">
        <v>1176795</v>
      </c>
      <c r="KT24" s="24">
        <v>101429</v>
      </c>
      <c r="KU24" s="38">
        <v>8.6199999999999999E-2</v>
      </c>
      <c r="KV24" s="24">
        <v>0</v>
      </c>
      <c r="KW24" s="24">
        <v>0</v>
      </c>
      <c r="KX24" s="24">
        <v>2</v>
      </c>
      <c r="KY24" s="24">
        <v>689628</v>
      </c>
      <c r="KZ24" s="24">
        <v>3</v>
      </c>
      <c r="LA24" s="24">
        <v>555698</v>
      </c>
      <c r="LB24" s="24">
        <v>850690</v>
      </c>
      <c r="LC24" s="24">
        <v>74010</v>
      </c>
      <c r="LD24" s="38">
        <v>8.6999999999999994E-2</v>
      </c>
      <c r="LE24" s="24">
        <v>0</v>
      </c>
      <c r="LF24" s="24">
        <v>0</v>
      </c>
      <c r="LG24" s="24">
        <v>2</v>
      </c>
      <c r="LH24" s="24">
        <v>447522</v>
      </c>
      <c r="LI24" s="24">
        <v>1</v>
      </c>
      <c r="LJ24" s="24">
        <v>108176</v>
      </c>
      <c r="LK24" s="24">
        <v>233913</v>
      </c>
      <c r="LL24" s="24">
        <v>23950</v>
      </c>
      <c r="LM24" s="38">
        <v>0.1024</v>
      </c>
      <c r="LN24" s="24"/>
      <c r="LO24" s="24"/>
      <c r="LP24" s="24">
        <v>1</v>
      </c>
      <c r="LQ24" s="24">
        <v>108176</v>
      </c>
      <c r="LR24" s="24">
        <v>0</v>
      </c>
      <c r="LS24" s="24">
        <v>0</v>
      </c>
      <c r="LT24" s="24">
        <v>45704</v>
      </c>
      <c r="LU24" s="24">
        <v>4647</v>
      </c>
      <c r="LV24" s="38">
        <v>0.1017</v>
      </c>
      <c r="LW24" s="24"/>
      <c r="LX24" s="24"/>
      <c r="LY24" s="24"/>
      <c r="LZ24" s="24"/>
      <c r="MA24" s="24"/>
      <c r="MB24" s="24"/>
      <c r="MC24" s="24"/>
      <c r="MD24" s="24"/>
      <c r="ME24" s="38"/>
      <c r="MF24" s="24"/>
      <c r="MG24" s="24"/>
      <c r="MH24" s="24"/>
      <c r="MI24" s="24"/>
      <c r="MJ24" s="24"/>
      <c r="MK24" s="24"/>
      <c r="ML24" s="24"/>
      <c r="MM24" s="24"/>
      <c r="MN24" s="38"/>
      <c r="MO24" s="24"/>
      <c r="MP24" s="24"/>
      <c r="MQ24" s="24"/>
      <c r="MR24" s="24"/>
      <c r="MS24" s="24"/>
      <c r="MT24" s="24"/>
      <c r="MU24" s="24"/>
      <c r="MV24" s="24"/>
      <c r="MW24" s="38"/>
      <c r="MX24" s="24"/>
      <c r="MY24" s="24"/>
      <c r="MZ24" s="24"/>
      <c r="NA24" s="24"/>
      <c r="NB24" s="24"/>
      <c r="NC24" s="24"/>
      <c r="ND24" s="24"/>
      <c r="NE24" s="24"/>
      <c r="NF24" s="38"/>
      <c r="NG24" s="24"/>
      <c r="NH24" s="24"/>
      <c r="NI24" s="24"/>
      <c r="NJ24" s="24"/>
      <c r="NK24" s="24"/>
      <c r="NL24" s="24"/>
      <c r="NM24" s="24"/>
      <c r="NN24" s="24"/>
      <c r="NO24" s="38"/>
      <c r="NP24" s="24"/>
      <c r="NQ24" s="24"/>
      <c r="NR24" s="24"/>
      <c r="NS24" s="24"/>
      <c r="NT24" s="24"/>
      <c r="NU24" s="24"/>
      <c r="NV24" s="24"/>
      <c r="NW24" s="24"/>
      <c r="NX24" s="38"/>
      <c r="NY24" s="24"/>
      <c r="NZ24" s="24"/>
      <c r="OA24" s="24"/>
      <c r="OB24" s="24"/>
      <c r="OC24" s="24"/>
      <c r="OD24" s="24"/>
      <c r="OE24" s="24"/>
      <c r="OF24" s="24"/>
      <c r="OG24" s="38"/>
      <c r="OH24" s="24"/>
      <c r="OI24" s="24"/>
      <c r="OJ24" s="24"/>
      <c r="OK24" s="24"/>
      <c r="OL24" s="24"/>
      <c r="OM24" s="24"/>
      <c r="ON24" s="24"/>
      <c r="OO24" s="24"/>
      <c r="OP24" s="38"/>
      <c r="OQ24" s="24"/>
      <c r="OR24" s="24"/>
      <c r="OS24" s="24"/>
      <c r="OT24" s="24"/>
      <c r="OU24" s="24"/>
      <c r="OV24" s="24"/>
      <c r="OW24" s="24"/>
      <c r="OX24" s="24"/>
      <c r="OY24" s="38"/>
    </row>
    <row r="25" spans="1:424" x14ac:dyDescent="0.2">
      <c r="A25" s="35" t="s">
        <v>49</v>
      </c>
      <c r="B25" s="24"/>
      <c r="C25" s="24"/>
      <c r="D25" s="24"/>
      <c r="E25" s="24"/>
      <c r="F25" s="24"/>
      <c r="G25" s="24"/>
      <c r="H25" s="24"/>
      <c r="I25" s="24"/>
      <c r="J25" s="38"/>
      <c r="K25" s="24"/>
      <c r="L25" s="24"/>
      <c r="M25" s="24"/>
      <c r="N25" s="24"/>
      <c r="O25" s="24"/>
      <c r="P25" s="24"/>
      <c r="Q25" s="24"/>
      <c r="R25" s="24"/>
      <c r="S25" s="38"/>
      <c r="T25" s="24"/>
      <c r="U25" s="24"/>
      <c r="V25" s="24"/>
      <c r="W25" s="24"/>
      <c r="X25" s="24"/>
      <c r="Y25" s="24"/>
      <c r="Z25" s="24"/>
      <c r="AA25" s="24"/>
      <c r="AB25" s="38"/>
      <c r="AC25" s="24"/>
      <c r="AD25" s="24"/>
      <c r="AE25" s="24"/>
      <c r="AF25" s="24"/>
      <c r="AG25" s="24">
        <v>1170</v>
      </c>
      <c r="AH25" s="24">
        <v>14539000</v>
      </c>
      <c r="AI25" s="24"/>
      <c r="AJ25" s="24"/>
      <c r="AK25" s="38"/>
      <c r="AL25" s="24">
        <v>3750</v>
      </c>
      <c r="AM25" s="24">
        <v>62220000</v>
      </c>
      <c r="AN25" s="24"/>
      <c r="AO25" s="24">
        <v>18422000</v>
      </c>
      <c r="AP25" s="24"/>
      <c r="AQ25" s="24">
        <v>58337000</v>
      </c>
      <c r="AR25" s="24">
        <v>38500000</v>
      </c>
      <c r="AS25" s="24">
        <v>3273000</v>
      </c>
      <c r="AT25" s="38">
        <v>8.5000000000000006E-2</v>
      </c>
      <c r="AU25" s="24">
        <v>1874</v>
      </c>
      <c r="AV25" s="24">
        <v>30165211</v>
      </c>
      <c r="AW25" s="24"/>
      <c r="AX25" s="24">
        <v>27979884</v>
      </c>
      <c r="AY25" s="24">
        <v>1915</v>
      </c>
      <c r="AZ25" s="24">
        <v>16724564</v>
      </c>
      <c r="BA25" s="24">
        <v>16205937</v>
      </c>
      <c r="BB25" s="24">
        <v>2566000</v>
      </c>
      <c r="BC25" s="38"/>
      <c r="BD25" s="24"/>
      <c r="BE25" s="24">
        <v>41344553</v>
      </c>
      <c r="BF25" s="24"/>
      <c r="BG25" s="24">
        <v>39197174</v>
      </c>
      <c r="BH25" s="24">
        <v>2202</v>
      </c>
      <c r="BI25" s="24">
        <v>18871943</v>
      </c>
      <c r="BJ25" s="24">
        <v>17821945</v>
      </c>
      <c r="BK25" s="24">
        <v>1941000</v>
      </c>
      <c r="BL25" s="38"/>
      <c r="BM25" s="24">
        <v>2844</v>
      </c>
      <c r="BN25" s="24">
        <v>43852534</v>
      </c>
      <c r="BO25" s="24">
        <v>2946</v>
      </c>
      <c r="BP25" s="24">
        <v>44805037</v>
      </c>
      <c r="BQ25" s="24">
        <v>2508</v>
      </c>
      <c r="BR25" s="24">
        <v>18942875</v>
      </c>
      <c r="BS25" s="24">
        <v>18754557</v>
      </c>
      <c r="BT25" s="24">
        <v>3204000</v>
      </c>
      <c r="BU25" s="38"/>
      <c r="BV25" s="24">
        <v>3023</v>
      </c>
      <c r="BW25" s="24">
        <v>53562000</v>
      </c>
      <c r="BX25" s="24">
        <v>2730</v>
      </c>
      <c r="BY25" s="24">
        <v>45772905</v>
      </c>
      <c r="BZ25" s="24">
        <v>2801</v>
      </c>
      <c r="CA25" s="24">
        <v>26731970</v>
      </c>
      <c r="CB25" s="24">
        <v>21505583</v>
      </c>
      <c r="CC25" s="24">
        <v>3922000</v>
      </c>
      <c r="CD25" s="38"/>
      <c r="CE25" s="24"/>
      <c r="CF25" s="24"/>
      <c r="CG25" s="24"/>
      <c r="CH25" s="24"/>
      <c r="CI25" s="24"/>
      <c r="CJ25" s="24">
        <v>39082000</v>
      </c>
      <c r="CK25" s="24"/>
      <c r="CL25" s="24"/>
      <c r="CM25" s="38"/>
      <c r="CN25" s="24"/>
      <c r="CO25" s="24"/>
      <c r="CP25" s="24"/>
      <c r="CQ25" s="24"/>
      <c r="CR25" s="24"/>
      <c r="CS25" s="24">
        <v>94408000</v>
      </c>
      <c r="CT25" s="24"/>
      <c r="CU25" s="24"/>
      <c r="CV25" s="38"/>
      <c r="CW25" s="24"/>
      <c r="CX25" s="24"/>
      <c r="CY25" s="24"/>
      <c r="CZ25" s="24"/>
      <c r="DA25" s="24"/>
      <c r="DB25" s="24">
        <v>162428000</v>
      </c>
      <c r="DC25" s="24"/>
      <c r="DD25" s="24"/>
      <c r="DE25" s="38"/>
      <c r="DF25" s="24">
        <v>75</v>
      </c>
      <c r="DG25" s="24">
        <v>77282000</v>
      </c>
      <c r="DH25" s="24">
        <v>63</v>
      </c>
      <c r="DI25" s="24">
        <v>95922000</v>
      </c>
      <c r="DJ25" s="24">
        <v>207</v>
      </c>
      <c r="DK25" s="24">
        <v>143788000</v>
      </c>
      <c r="DL25" s="24">
        <v>153108000</v>
      </c>
      <c r="DM25" s="24">
        <v>17140000</v>
      </c>
      <c r="DN25" s="38">
        <v>0.1119</v>
      </c>
      <c r="DO25" s="24">
        <v>68</v>
      </c>
      <c r="DP25" s="24">
        <v>83228940</v>
      </c>
      <c r="DQ25" s="24">
        <v>87</v>
      </c>
      <c r="DR25" s="24">
        <v>101413716</v>
      </c>
      <c r="DS25" s="24">
        <v>188</v>
      </c>
      <c r="DT25" s="24">
        <v>125603272</v>
      </c>
      <c r="DU25" s="24">
        <v>131733921</v>
      </c>
      <c r="DV25" s="24">
        <v>17212534</v>
      </c>
      <c r="DW25" s="38">
        <v>0.13059999999999999</v>
      </c>
      <c r="DX25" s="24">
        <v>88</v>
      </c>
      <c r="DY25" s="24">
        <v>102646520</v>
      </c>
      <c r="DZ25" s="24">
        <v>93</v>
      </c>
      <c r="EA25" s="24">
        <v>83511467</v>
      </c>
      <c r="EB25" s="24">
        <v>183</v>
      </c>
      <c r="EC25" s="24">
        <v>144738325</v>
      </c>
      <c r="ED25" s="24">
        <v>130494634</v>
      </c>
      <c r="EE25" s="24">
        <v>18482379</v>
      </c>
      <c r="EF25" s="38">
        <v>0.1416</v>
      </c>
      <c r="EG25" s="24">
        <v>175</v>
      </c>
      <c r="EH25" s="24">
        <v>179364186</v>
      </c>
      <c r="EI25" s="24">
        <v>70</v>
      </c>
      <c r="EJ25" s="24">
        <v>97776759</v>
      </c>
      <c r="EK25" s="24">
        <v>288</v>
      </c>
      <c r="EL25" s="24">
        <v>226325752</v>
      </c>
      <c r="EM25" s="24">
        <v>184738825</v>
      </c>
      <c r="EN25" s="24">
        <v>25749418</v>
      </c>
      <c r="EO25" s="38">
        <v>0.13930000000000001</v>
      </c>
      <c r="EP25" s="24">
        <v>133</v>
      </c>
      <c r="EQ25" s="24">
        <v>173894174</v>
      </c>
      <c r="ER25" s="24">
        <v>101</v>
      </c>
      <c r="ES25" s="24">
        <v>140643808</v>
      </c>
      <c r="ET25" s="24">
        <v>320</v>
      </c>
      <c r="EU25" s="24">
        <v>259576118</v>
      </c>
      <c r="EV25" s="24">
        <v>253062583</v>
      </c>
      <c r="EW25" s="24">
        <v>30599788</v>
      </c>
      <c r="EX25" s="38">
        <v>0.12089999999999999</v>
      </c>
      <c r="EY25" s="24">
        <v>153</v>
      </c>
      <c r="EZ25" s="24">
        <v>221647310</v>
      </c>
      <c r="FA25" s="24">
        <v>141</v>
      </c>
      <c r="FB25" s="24">
        <v>165493143</v>
      </c>
      <c r="FC25" s="24">
        <v>332</v>
      </c>
      <c r="FD25" s="24">
        <v>315730285</v>
      </c>
      <c r="FE25" s="24">
        <v>287744108</v>
      </c>
      <c r="FF25" s="24">
        <v>39968955</v>
      </c>
      <c r="FG25" s="38">
        <v>0.1389</v>
      </c>
      <c r="FH25" s="24">
        <v>91</v>
      </c>
      <c r="FI25" s="24">
        <v>140456006</v>
      </c>
      <c r="FJ25" s="24">
        <v>112</v>
      </c>
      <c r="FK25" s="24">
        <v>165299379</v>
      </c>
      <c r="FL25" s="24">
        <v>311</v>
      </c>
      <c r="FM25" s="24">
        <v>299644292</v>
      </c>
      <c r="FN25" s="24">
        <v>310548398</v>
      </c>
      <c r="FO25" s="24">
        <v>25644700</v>
      </c>
      <c r="FP25" s="38">
        <v>8.2500000000000004E-2</v>
      </c>
      <c r="FQ25" s="24">
        <v>75</v>
      </c>
      <c r="FR25" s="24">
        <v>83411286</v>
      </c>
      <c r="FS25" s="24">
        <v>132</v>
      </c>
      <c r="FT25" s="24">
        <v>149725175</v>
      </c>
      <c r="FU25" s="24">
        <v>254</v>
      </c>
      <c r="FV25" s="24">
        <v>233330403</v>
      </c>
      <c r="FW25" s="24">
        <v>276298283</v>
      </c>
      <c r="FX25" s="24">
        <v>18630412</v>
      </c>
      <c r="FY25" s="38">
        <v>6.7400000000000002E-2</v>
      </c>
      <c r="FZ25" s="24">
        <v>24</v>
      </c>
      <c r="GA25" s="24">
        <v>32143243</v>
      </c>
      <c r="GB25" s="24">
        <v>98</v>
      </c>
      <c r="GC25" s="24">
        <v>113526309</v>
      </c>
      <c r="GD25" s="24">
        <v>180</v>
      </c>
      <c r="GE25" s="24">
        <v>151947337</v>
      </c>
      <c r="GF25" s="24">
        <v>191507929</v>
      </c>
      <c r="GG25" s="24">
        <v>12431504</v>
      </c>
      <c r="GH25" s="38">
        <v>6.4899999999999999E-2</v>
      </c>
      <c r="GI25" s="24">
        <v>23</v>
      </c>
      <c r="GJ25" s="24">
        <v>23550254</v>
      </c>
      <c r="GK25" s="24">
        <v>78</v>
      </c>
      <c r="GL25" s="24">
        <v>78247647</v>
      </c>
      <c r="GM25" s="24">
        <v>125</v>
      </c>
      <c r="GN25" s="24">
        <v>97249944</v>
      </c>
      <c r="GO25" s="24">
        <v>122245225</v>
      </c>
      <c r="GP25" s="24">
        <v>11666965</v>
      </c>
      <c r="GQ25" s="38">
        <v>9.5399999999999999E-2</v>
      </c>
      <c r="GR25" s="24">
        <v>15</v>
      </c>
      <c r="GS25" s="24">
        <v>16528000</v>
      </c>
      <c r="GT25" s="24">
        <v>49</v>
      </c>
      <c r="GU25" s="24">
        <v>49321544</v>
      </c>
      <c r="GV25" s="24">
        <v>91</v>
      </c>
      <c r="GW25" s="24">
        <v>64456400</v>
      </c>
      <c r="GX25" s="24">
        <v>78414117</v>
      </c>
      <c r="GY25" s="24">
        <v>6522460</v>
      </c>
      <c r="GZ25" s="38">
        <v>8.3199999999999996E-2</v>
      </c>
      <c r="HA25" s="24">
        <v>17</v>
      </c>
      <c r="HB25" s="24">
        <v>21567000</v>
      </c>
      <c r="HC25" s="24">
        <v>45</v>
      </c>
      <c r="HD25" s="24">
        <v>36609700</v>
      </c>
      <c r="HE25" s="24">
        <v>63</v>
      </c>
      <c r="HF25" s="24">
        <v>49413700</v>
      </c>
      <c r="HG25" s="24">
        <v>58260249</v>
      </c>
      <c r="HH25" s="24">
        <v>4556600</v>
      </c>
      <c r="HI25" s="38">
        <v>7.8200000000000006E-2</v>
      </c>
      <c r="HJ25" s="24">
        <v>9</v>
      </c>
      <c r="HK25" s="24">
        <v>11190000</v>
      </c>
      <c r="HL25" s="24">
        <v>33</v>
      </c>
      <c r="HM25" s="24">
        <v>24117000</v>
      </c>
      <c r="HN25" s="24">
        <v>39</v>
      </c>
      <c r="HO25" s="24">
        <v>36486700</v>
      </c>
      <c r="HP25" s="24">
        <v>42870404</v>
      </c>
      <c r="HQ25" s="24">
        <v>3002345</v>
      </c>
      <c r="HR25" s="38">
        <v>7.0000000000000007E-2</v>
      </c>
      <c r="HS25" s="24">
        <v>10</v>
      </c>
      <c r="HT25" s="24">
        <v>10350880</v>
      </c>
      <c r="HU25" s="24">
        <v>15</v>
      </c>
      <c r="HV25" s="24">
        <v>15273680</v>
      </c>
      <c r="HW25" s="24">
        <v>34</v>
      </c>
      <c r="HX25" s="24">
        <v>31563900</v>
      </c>
      <c r="HY25" s="24">
        <v>34082475</v>
      </c>
      <c r="HZ25" s="24">
        <v>3550688</v>
      </c>
      <c r="IA25" s="38">
        <v>0.1042</v>
      </c>
      <c r="IB25" s="24">
        <v>15</v>
      </c>
      <c r="IC25" s="24">
        <v>13160000</v>
      </c>
      <c r="ID25" s="24">
        <v>15</v>
      </c>
      <c r="IE25" s="24">
        <v>14142400</v>
      </c>
      <c r="IF25" s="24">
        <v>34</v>
      </c>
      <c r="IG25" s="24">
        <v>30581500</v>
      </c>
      <c r="IH25" s="24">
        <v>31062231</v>
      </c>
      <c r="II25" s="24">
        <v>2087296</v>
      </c>
      <c r="IJ25" s="38">
        <v>6.7199999999999996E-2</v>
      </c>
      <c r="IK25" s="24">
        <v>11</v>
      </c>
      <c r="IL25" s="24">
        <v>16734900</v>
      </c>
      <c r="IM25" s="24">
        <v>8</v>
      </c>
      <c r="IN25" s="24">
        <v>10285900</v>
      </c>
      <c r="IO25" s="24">
        <v>37</v>
      </c>
      <c r="IP25" s="24">
        <v>37030500</v>
      </c>
      <c r="IQ25" s="24">
        <v>28846176</v>
      </c>
      <c r="IR25" s="24">
        <v>2207620</v>
      </c>
      <c r="IS25" s="38">
        <v>7.6499999999999999E-2</v>
      </c>
      <c r="IT25" s="24">
        <v>24</v>
      </c>
      <c r="IU25" s="24">
        <v>15990659</v>
      </c>
      <c r="IV25" s="24">
        <v>12</v>
      </c>
      <c r="IW25" s="24">
        <v>16841592</v>
      </c>
      <c r="IX25" s="24">
        <v>49</v>
      </c>
      <c r="IY25" s="24">
        <v>36179567</v>
      </c>
      <c r="IZ25" s="24">
        <v>31428950</v>
      </c>
      <c r="JA25" s="24">
        <v>2382762</v>
      </c>
      <c r="JB25" s="38">
        <v>7.5800000000000006E-2</v>
      </c>
      <c r="JC25" s="24">
        <v>18</v>
      </c>
      <c r="JD25" s="24">
        <v>14654470</v>
      </c>
      <c r="JE25" s="24">
        <v>22</v>
      </c>
      <c r="JF25" s="24">
        <v>15222518</v>
      </c>
      <c r="JG25" s="24">
        <v>45</v>
      </c>
      <c r="JH25" s="24">
        <v>35611519</v>
      </c>
      <c r="JI25" s="24">
        <v>35993623</v>
      </c>
      <c r="JJ25" s="24">
        <v>2363216</v>
      </c>
      <c r="JK25" s="38">
        <v>6.5699999999999995E-2</v>
      </c>
      <c r="JL25" s="24">
        <v>14</v>
      </c>
      <c r="JM25" s="24">
        <v>13881452</v>
      </c>
      <c r="JN25" s="24">
        <v>14</v>
      </c>
      <c r="JO25" s="24">
        <v>17748046</v>
      </c>
      <c r="JP25" s="24">
        <v>45</v>
      </c>
      <c r="JQ25" s="24">
        <v>31744925</v>
      </c>
      <c r="JR25" s="24">
        <v>33459682</v>
      </c>
      <c r="JS25" s="24">
        <v>2285930</v>
      </c>
      <c r="JT25" s="38">
        <v>6.83E-2</v>
      </c>
      <c r="JU25" s="24">
        <v>18</v>
      </c>
      <c r="JV25" s="24">
        <v>11839821</v>
      </c>
      <c r="JW25" s="24">
        <v>14</v>
      </c>
      <c r="JX25" s="24">
        <v>14433752</v>
      </c>
      <c r="JY25" s="24">
        <v>49</v>
      </c>
      <c r="JZ25" s="24">
        <v>29150994</v>
      </c>
      <c r="KA25" s="24">
        <v>27924776</v>
      </c>
      <c r="KB25" s="24">
        <v>1512129</v>
      </c>
      <c r="KC25" s="38">
        <v>5.4199999999999998E-2</v>
      </c>
      <c r="KD25" s="24">
        <v>23</v>
      </c>
      <c r="KE25" s="24">
        <v>12130000</v>
      </c>
      <c r="KF25" s="24">
        <v>17</v>
      </c>
      <c r="KG25" s="24">
        <v>15187788</v>
      </c>
      <c r="KH25" s="24">
        <v>55</v>
      </c>
      <c r="KI25" s="24">
        <v>26093206</v>
      </c>
      <c r="KJ25" s="24">
        <v>26093206</v>
      </c>
      <c r="KK25" s="24">
        <v>1923693</v>
      </c>
      <c r="KL25" s="38">
        <v>7.3700000000000002E-2</v>
      </c>
      <c r="KM25" s="24">
        <v>24</v>
      </c>
      <c r="KN25" s="24">
        <v>16590000</v>
      </c>
      <c r="KO25" s="24">
        <v>21</v>
      </c>
      <c r="KP25" s="24">
        <v>12399168</v>
      </c>
      <c r="KQ25" s="24">
        <v>58</v>
      </c>
      <c r="KR25" s="24">
        <v>30284038</v>
      </c>
      <c r="KS25" s="24">
        <v>28284039</v>
      </c>
      <c r="KT25" s="24">
        <v>2154432</v>
      </c>
      <c r="KU25" s="38">
        <v>7.6200000000000004E-2</v>
      </c>
      <c r="KV25" s="24">
        <v>0</v>
      </c>
      <c r="KW25" s="24">
        <v>0</v>
      </c>
      <c r="KX25" s="24">
        <v>18</v>
      </c>
      <c r="KY25" s="24">
        <v>11572595</v>
      </c>
      <c r="KZ25" s="24">
        <v>40</v>
      </c>
      <c r="LA25" s="24">
        <v>18711443</v>
      </c>
      <c r="LB25" s="24">
        <v>24026835</v>
      </c>
      <c r="LC25" s="24">
        <v>2101452</v>
      </c>
      <c r="LD25" s="38">
        <v>8.7499999999999994E-2</v>
      </c>
      <c r="LE25" s="24">
        <v>60</v>
      </c>
      <c r="LF25" s="24">
        <v>63680000</v>
      </c>
      <c r="LG25" s="24">
        <v>13</v>
      </c>
      <c r="LH25" s="24">
        <v>12715946</v>
      </c>
      <c r="LI25" s="24">
        <v>87</v>
      </c>
      <c r="LJ25" s="24">
        <v>69675497</v>
      </c>
      <c r="LK25" s="24">
        <v>44424693</v>
      </c>
      <c r="LL25" s="24">
        <v>3570825</v>
      </c>
      <c r="LM25" s="38">
        <v>8.0399999999999999E-2</v>
      </c>
      <c r="LN25" s="24">
        <v>67</v>
      </c>
      <c r="LO25" s="24">
        <v>69750000</v>
      </c>
      <c r="LP25" s="24">
        <v>12</v>
      </c>
      <c r="LQ25" s="24">
        <v>24504481</v>
      </c>
      <c r="LR25" s="24">
        <v>142</v>
      </c>
      <c r="LS25" s="24">
        <v>114921016</v>
      </c>
      <c r="LT25" s="24">
        <v>94020334</v>
      </c>
      <c r="LU25" s="24">
        <v>8358702</v>
      </c>
      <c r="LV25" s="38">
        <v>8.8900000000000007E-2</v>
      </c>
      <c r="LW25" s="24">
        <v>80</v>
      </c>
      <c r="LX25" s="24">
        <v>69920000</v>
      </c>
      <c r="LY25" s="24">
        <v>25</v>
      </c>
      <c r="LZ25" s="24">
        <v>42596623</v>
      </c>
      <c r="MA25" s="24">
        <v>197</v>
      </c>
      <c r="MB25" s="24">
        <v>142244393</v>
      </c>
      <c r="MC25" s="24">
        <v>129342296</v>
      </c>
      <c r="MD25" s="24">
        <v>11546687</v>
      </c>
      <c r="ME25" s="38">
        <v>8.9300000000000004E-2</v>
      </c>
      <c r="MF25" s="24">
        <v>80</v>
      </c>
      <c r="MG25" s="24">
        <v>99280000</v>
      </c>
      <c r="MH25" s="24">
        <v>38</v>
      </c>
      <c r="MI25" s="24">
        <v>57131402</v>
      </c>
      <c r="MJ25" s="24">
        <v>239</v>
      </c>
      <c r="MK25" s="24">
        <v>184392991</v>
      </c>
      <c r="ML25" s="24">
        <v>169466987</v>
      </c>
      <c r="MM25" s="24">
        <v>14819134</v>
      </c>
      <c r="MN25" s="38">
        <v>8.7400000000000005E-2</v>
      </c>
      <c r="MO25" s="24">
        <v>56</v>
      </c>
      <c r="MP25" s="24">
        <v>73350000</v>
      </c>
      <c r="MQ25" s="24">
        <v>34</v>
      </c>
      <c r="MR25" s="24">
        <v>60357385</v>
      </c>
      <c r="MS25" s="24">
        <v>261</v>
      </c>
      <c r="MT25" s="24">
        <v>197385606</v>
      </c>
      <c r="MU25" s="24">
        <v>193363170</v>
      </c>
      <c r="MV25" s="24">
        <v>18002403</v>
      </c>
      <c r="MW25" s="38">
        <v>9.3100000000000002E-2</v>
      </c>
      <c r="MX25" s="24">
        <v>41</v>
      </c>
      <c r="MY25" s="24">
        <v>58140000</v>
      </c>
      <c r="MZ25" s="24">
        <v>57</v>
      </c>
      <c r="NA25" s="24">
        <v>63518757</v>
      </c>
      <c r="NB25" s="24">
        <v>245</v>
      </c>
      <c r="NC25" s="24">
        <v>192006849</v>
      </c>
      <c r="ND25" s="24">
        <v>193768264</v>
      </c>
      <c r="NE25" s="24">
        <v>18438570</v>
      </c>
      <c r="NF25" s="38">
        <v>9.5200000000000007E-2</v>
      </c>
      <c r="NG25" s="24">
        <v>35</v>
      </c>
      <c r="NH25" s="24">
        <v>54650000</v>
      </c>
      <c r="NI25" s="24">
        <v>56</v>
      </c>
      <c r="NJ25" s="24">
        <v>63650292</v>
      </c>
      <c r="NK25" s="24">
        <v>224</v>
      </c>
      <c r="NL25" s="24">
        <v>183006557</v>
      </c>
      <c r="NM25" s="24">
        <v>193504513</v>
      </c>
      <c r="NN25" s="24">
        <v>18692820</v>
      </c>
      <c r="NO25" s="38">
        <v>9.6600000000000005E-2</v>
      </c>
      <c r="NP25" s="24">
        <v>43</v>
      </c>
      <c r="NQ25" s="24">
        <v>66250000</v>
      </c>
      <c r="NR25" s="24">
        <v>49</v>
      </c>
      <c r="NS25" s="24">
        <v>63096820</v>
      </c>
      <c r="NT25" s="24">
        <v>218</v>
      </c>
      <c r="NU25" s="24">
        <v>186159737</v>
      </c>
      <c r="NV25" s="24">
        <v>187338843</v>
      </c>
      <c r="NW25" s="24">
        <v>17883043</v>
      </c>
      <c r="NX25" s="38">
        <v>9.5500000000000002E-2</v>
      </c>
      <c r="NY25" s="24">
        <v>16</v>
      </c>
      <c r="NZ25" s="24">
        <v>22750000</v>
      </c>
      <c r="OA25" s="24">
        <v>40</v>
      </c>
      <c r="OB25" s="24">
        <v>59251255</v>
      </c>
      <c r="OC25" s="24">
        <v>194</v>
      </c>
      <c r="OD25" s="24">
        <v>149658482</v>
      </c>
      <c r="OE25" s="24">
        <v>167100147</v>
      </c>
      <c r="OF25" s="24">
        <v>16236163</v>
      </c>
      <c r="OG25" s="38">
        <v>9.7199999999999995E-2</v>
      </c>
      <c r="OH25" s="24">
        <v>25</v>
      </c>
      <c r="OI25" s="24">
        <v>39380000</v>
      </c>
      <c r="OJ25" s="24">
        <v>43</v>
      </c>
      <c r="OK25" s="24">
        <v>48895690</v>
      </c>
      <c r="OL25" s="24">
        <v>176</v>
      </c>
      <c r="OM25" s="24">
        <v>140142792</v>
      </c>
      <c r="ON25" s="24">
        <v>141431980</v>
      </c>
      <c r="OO25" s="24">
        <v>13380141</v>
      </c>
      <c r="OP25" s="38">
        <v>9.4600000000000004E-2</v>
      </c>
      <c r="OQ25" s="24">
        <v>17</v>
      </c>
      <c r="OR25" s="24">
        <v>26220000</v>
      </c>
      <c r="OS25" s="24">
        <v>42</v>
      </c>
      <c r="OT25" s="24">
        <v>45337360</v>
      </c>
      <c r="OU25" s="24">
        <v>151</v>
      </c>
      <c r="OV25" s="24">
        <v>121025432</v>
      </c>
      <c r="OW25" s="24">
        <v>125878419</v>
      </c>
      <c r="OX25" s="24">
        <v>12005810</v>
      </c>
      <c r="OY25" s="38">
        <v>9.5399999999999999E-2</v>
      </c>
    </row>
    <row r="26" spans="1:424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  <c r="K26" s="24"/>
      <c r="L26" s="24"/>
      <c r="M26" s="24"/>
      <c r="N26" s="24"/>
      <c r="O26" s="24"/>
      <c r="P26" s="24"/>
      <c r="Q26" s="24"/>
      <c r="R26" s="24"/>
      <c r="S26" s="38"/>
      <c r="T26" s="24"/>
      <c r="U26" s="24"/>
      <c r="V26" s="24"/>
      <c r="W26" s="24"/>
      <c r="X26" s="24"/>
      <c r="Y26" s="24"/>
      <c r="Z26" s="24"/>
      <c r="AA26" s="24"/>
      <c r="AB26" s="38"/>
      <c r="AC26" s="24"/>
      <c r="AD26" s="24"/>
      <c r="AE26" s="24"/>
      <c r="AF26" s="24"/>
      <c r="AG26" s="24"/>
      <c r="AH26" s="24"/>
      <c r="AI26" s="24"/>
      <c r="AJ26" s="24"/>
      <c r="AK26" s="38"/>
      <c r="AL26" s="24"/>
      <c r="AM26" s="24"/>
      <c r="AN26" s="24"/>
      <c r="AO26" s="24"/>
      <c r="AP26" s="24"/>
      <c r="AQ26" s="24"/>
      <c r="AR26" s="24"/>
      <c r="AS26" s="24"/>
      <c r="AT26" s="38"/>
      <c r="AU26" s="24"/>
      <c r="AV26" s="24"/>
      <c r="AW26" s="24"/>
      <c r="AX26" s="24"/>
      <c r="AY26" s="24"/>
      <c r="AZ26" s="24"/>
      <c r="BA26" s="24"/>
      <c r="BB26" s="24"/>
      <c r="BC26" s="38"/>
      <c r="BD26" s="24"/>
      <c r="BE26" s="24"/>
      <c r="BF26" s="24"/>
      <c r="BG26" s="24"/>
      <c r="BH26" s="24"/>
      <c r="BI26" s="24"/>
      <c r="BJ26" s="24"/>
      <c r="BK26" s="24"/>
      <c r="BL26" s="38"/>
      <c r="BM26" s="24"/>
      <c r="BN26" s="24"/>
      <c r="BO26" s="24"/>
      <c r="BP26" s="24"/>
      <c r="BQ26" s="24"/>
      <c r="BR26" s="24"/>
      <c r="BS26" s="24"/>
      <c r="BT26" s="24"/>
      <c r="BU26" s="38"/>
      <c r="BV26" s="24"/>
      <c r="BW26" s="24"/>
      <c r="BX26" s="24"/>
      <c r="BY26" s="24"/>
      <c r="BZ26" s="24"/>
      <c r="CA26" s="24"/>
      <c r="CB26" s="24"/>
      <c r="CC26" s="24"/>
      <c r="CD26" s="38"/>
      <c r="CE26" s="24"/>
      <c r="CF26" s="24"/>
      <c r="CG26" s="24"/>
      <c r="CH26" s="24"/>
      <c r="CI26" s="24"/>
      <c r="CJ26" s="24"/>
      <c r="CK26" s="24"/>
      <c r="CL26" s="24"/>
      <c r="CM26" s="38"/>
      <c r="CN26" s="24"/>
      <c r="CO26" s="24"/>
      <c r="CP26" s="24"/>
      <c r="CQ26" s="24"/>
      <c r="CR26" s="24"/>
      <c r="CS26" s="24"/>
      <c r="CT26" s="24"/>
      <c r="CU26" s="24"/>
      <c r="CV26" s="38"/>
      <c r="CW26" s="24"/>
      <c r="CX26" s="24"/>
      <c r="CY26" s="24"/>
      <c r="CZ26" s="24"/>
      <c r="DA26" s="24"/>
      <c r="DB26" s="24"/>
      <c r="DC26" s="24"/>
      <c r="DD26" s="24"/>
      <c r="DE26" s="38"/>
      <c r="DF26" s="24"/>
      <c r="DG26" s="24"/>
      <c r="DH26" s="24"/>
      <c r="DI26" s="24"/>
      <c r="DJ26" s="24"/>
      <c r="DK26" s="24"/>
      <c r="DL26" s="24"/>
      <c r="DM26" s="24"/>
      <c r="DN26" s="38"/>
      <c r="DO26" s="24"/>
      <c r="DP26" s="24"/>
      <c r="DQ26" s="24"/>
      <c r="DR26" s="24"/>
      <c r="DS26" s="24"/>
      <c r="DT26" s="24"/>
      <c r="DU26" s="24"/>
      <c r="DV26" s="24"/>
      <c r="DW26" s="38"/>
      <c r="DX26" s="24"/>
      <c r="DY26" s="24"/>
      <c r="DZ26" s="24"/>
      <c r="EA26" s="24"/>
      <c r="EB26" s="24"/>
      <c r="EC26" s="24"/>
      <c r="ED26" s="24"/>
      <c r="EE26" s="24"/>
      <c r="EF26" s="38"/>
      <c r="EG26" s="24"/>
      <c r="EH26" s="24"/>
      <c r="EI26" s="24"/>
      <c r="EJ26" s="24"/>
      <c r="EK26" s="24"/>
      <c r="EL26" s="24"/>
      <c r="EM26" s="24"/>
      <c r="EN26" s="24"/>
      <c r="EO26" s="38"/>
      <c r="EP26" s="24"/>
      <c r="EQ26" s="24"/>
      <c r="ER26" s="24"/>
      <c r="ES26" s="24"/>
      <c r="ET26" s="24"/>
      <c r="EU26" s="24"/>
      <c r="EV26" s="24"/>
      <c r="EW26" s="24"/>
      <c r="EX26" s="38"/>
      <c r="EY26" s="24"/>
      <c r="EZ26" s="24"/>
      <c r="FA26" s="24"/>
      <c r="FB26" s="24"/>
      <c r="FC26" s="24"/>
      <c r="FD26" s="24"/>
      <c r="FE26" s="24"/>
      <c r="FF26" s="24"/>
      <c r="FG26" s="38"/>
      <c r="FH26" s="24"/>
      <c r="FI26" s="24"/>
      <c r="FJ26" s="24"/>
      <c r="FK26" s="24"/>
      <c r="FL26" s="24"/>
      <c r="FM26" s="24"/>
      <c r="FN26" s="24"/>
      <c r="FO26" s="24"/>
      <c r="FP26" s="38"/>
      <c r="FQ26" s="24"/>
      <c r="FR26" s="24"/>
      <c r="FS26" s="24"/>
      <c r="FT26" s="24"/>
      <c r="FU26" s="24"/>
      <c r="FV26" s="24"/>
      <c r="FW26" s="24"/>
      <c r="FX26" s="24"/>
      <c r="FY26" s="38"/>
      <c r="FZ26" s="24"/>
      <c r="GA26" s="24"/>
      <c r="GB26" s="24"/>
      <c r="GC26" s="24"/>
      <c r="GD26" s="24"/>
      <c r="GE26" s="24"/>
      <c r="GF26" s="24"/>
      <c r="GG26" s="24"/>
      <c r="GH26" s="38"/>
      <c r="GI26" s="24"/>
      <c r="GJ26" s="24"/>
      <c r="GK26" s="24"/>
      <c r="GL26" s="24"/>
      <c r="GM26" s="24"/>
      <c r="GN26" s="24"/>
      <c r="GO26" s="24"/>
      <c r="GP26" s="24"/>
      <c r="GQ26" s="38"/>
      <c r="GR26" s="24"/>
      <c r="GS26" s="24"/>
      <c r="GT26" s="24"/>
      <c r="GU26" s="24"/>
      <c r="GV26" s="24"/>
      <c r="GW26" s="24"/>
      <c r="GX26" s="24"/>
      <c r="GY26" s="24"/>
      <c r="GZ26" s="38"/>
      <c r="HA26" s="24"/>
      <c r="HB26" s="24"/>
      <c r="HC26" s="24"/>
      <c r="HD26" s="24"/>
      <c r="HE26" s="24"/>
      <c r="HF26" s="24"/>
      <c r="HG26" s="24"/>
      <c r="HH26" s="24"/>
      <c r="HI26" s="38"/>
      <c r="HJ26" s="24"/>
      <c r="HK26" s="24"/>
      <c r="HL26" s="24"/>
      <c r="HM26" s="24"/>
      <c r="HN26" s="24"/>
      <c r="HO26" s="24"/>
      <c r="HP26" s="24"/>
      <c r="HQ26" s="24"/>
      <c r="HR26" s="38"/>
      <c r="HS26" s="24">
        <v>1</v>
      </c>
      <c r="HT26" s="24">
        <v>170000</v>
      </c>
      <c r="HU26" s="24">
        <v>16</v>
      </c>
      <c r="HV26" s="24">
        <v>1432026</v>
      </c>
      <c r="HW26" s="24">
        <v>3</v>
      </c>
      <c r="HX26" s="24">
        <v>614500</v>
      </c>
      <c r="HY26" s="24">
        <v>1008147</v>
      </c>
      <c r="HZ26" s="24">
        <v>138874</v>
      </c>
      <c r="IA26" s="38">
        <v>0.13780000000000001</v>
      </c>
      <c r="IB26" s="24">
        <v>2</v>
      </c>
      <c r="IC26" s="24">
        <v>268857</v>
      </c>
      <c r="ID26" s="24">
        <v>2</v>
      </c>
      <c r="IE26" s="24">
        <v>514357</v>
      </c>
      <c r="IF26" s="24">
        <v>3</v>
      </c>
      <c r="IG26" s="24">
        <v>369000</v>
      </c>
      <c r="IH26" s="24">
        <v>490547</v>
      </c>
      <c r="II26" s="24">
        <v>58018</v>
      </c>
      <c r="IJ26" s="38">
        <v>0.1183</v>
      </c>
      <c r="IK26" s="24">
        <v>3</v>
      </c>
      <c r="IL26" s="24">
        <v>629279</v>
      </c>
      <c r="IM26" s="24">
        <v>2</v>
      </c>
      <c r="IN26" s="24">
        <v>565079</v>
      </c>
      <c r="IO26" s="24">
        <v>4</v>
      </c>
      <c r="IP26" s="24">
        <v>433200</v>
      </c>
      <c r="IQ26" s="24">
        <v>452698</v>
      </c>
      <c r="IR26" s="24">
        <v>56510</v>
      </c>
      <c r="IS26" s="38">
        <v>0.12479999999999999</v>
      </c>
      <c r="IT26" s="24">
        <v>0</v>
      </c>
      <c r="IU26" s="24">
        <v>0</v>
      </c>
      <c r="IV26" s="24">
        <v>3</v>
      </c>
      <c r="IW26" s="24">
        <v>403800</v>
      </c>
      <c r="IX26" s="24">
        <v>1</v>
      </c>
      <c r="IY26" s="24">
        <v>29400</v>
      </c>
      <c r="IZ26" s="24">
        <v>142051</v>
      </c>
      <c r="JA26" s="24">
        <v>20959</v>
      </c>
      <c r="JB26" s="38">
        <v>0.14749999999999999</v>
      </c>
      <c r="JC26" s="24">
        <v>0</v>
      </c>
      <c r="JD26" s="24">
        <v>0</v>
      </c>
      <c r="JE26" s="24">
        <v>1</v>
      </c>
      <c r="JF26" s="24">
        <v>29400</v>
      </c>
      <c r="JG26" s="24">
        <v>0</v>
      </c>
      <c r="JH26" s="24">
        <v>0</v>
      </c>
      <c r="JI26" s="24">
        <v>4925</v>
      </c>
      <c r="JJ26" s="24">
        <v>470</v>
      </c>
      <c r="JK26" s="38">
        <v>9.5399999999999999E-2</v>
      </c>
      <c r="JL26" s="24"/>
      <c r="JM26" s="24"/>
      <c r="JN26" s="24"/>
      <c r="JO26" s="24"/>
      <c r="JP26" s="24"/>
      <c r="JQ26" s="24"/>
      <c r="JR26" s="24"/>
      <c r="JS26" s="24"/>
      <c r="JT26" s="38"/>
      <c r="JU26" s="24"/>
      <c r="JV26" s="24"/>
      <c r="JW26" s="24"/>
      <c r="JX26" s="24"/>
      <c r="JY26" s="24"/>
      <c r="JZ26" s="24"/>
      <c r="KA26" s="24"/>
      <c r="KB26" s="24"/>
      <c r="KC26" s="38"/>
      <c r="KD26" s="24"/>
      <c r="KE26" s="24"/>
      <c r="KF26" s="24"/>
      <c r="KG26" s="24"/>
      <c r="KH26" s="24"/>
      <c r="KI26" s="24"/>
      <c r="KJ26" s="24"/>
      <c r="KK26" s="24"/>
      <c r="KL26" s="38"/>
      <c r="KM26" s="24"/>
      <c r="KN26" s="24"/>
      <c r="KO26" s="24"/>
      <c r="KP26" s="24"/>
      <c r="KQ26" s="24"/>
      <c r="KR26" s="24"/>
      <c r="KS26" s="24"/>
      <c r="KT26" s="24"/>
      <c r="KU26" s="38"/>
      <c r="KV26" s="24"/>
      <c r="KW26" s="24"/>
      <c r="KX26" s="24"/>
      <c r="KY26" s="24"/>
      <c r="KZ26" s="24"/>
      <c r="LA26" s="24"/>
      <c r="LB26" s="24"/>
      <c r="LC26" s="24"/>
      <c r="LD26" s="38"/>
      <c r="LE26" s="24"/>
      <c r="LF26" s="24"/>
      <c r="LG26" s="24"/>
      <c r="LH26" s="24"/>
      <c r="LI26" s="24"/>
      <c r="LJ26" s="24"/>
      <c r="LK26" s="24"/>
      <c r="LL26" s="24"/>
      <c r="LM26" s="38"/>
      <c r="LN26" s="24"/>
      <c r="LO26" s="24"/>
      <c r="LP26" s="24"/>
      <c r="LQ26" s="24"/>
      <c r="LR26" s="24"/>
      <c r="LS26" s="24"/>
      <c r="LT26" s="24"/>
      <c r="LU26" s="24"/>
      <c r="LV26" s="38"/>
      <c r="LW26" s="24"/>
      <c r="LX26" s="24"/>
      <c r="LY26" s="24"/>
      <c r="LZ26" s="24"/>
      <c r="MA26" s="24"/>
      <c r="MB26" s="24"/>
      <c r="MC26" s="24"/>
      <c r="MD26" s="24"/>
      <c r="ME26" s="38"/>
      <c r="MF26" s="24"/>
      <c r="MG26" s="24"/>
      <c r="MH26" s="24"/>
      <c r="MI26" s="24"/>
      <c r="MJ26" s="24"/>
      <c r="MK26" s="24"/>
      <c r="ML26" s="24"/>
      <c r="MM26" s="24"/>
      <c r="MN26" s="38"/>
      <c r="MO26" s="24"/>
      <c r="MP26" s="24"/>
      <c r="MQ26" s="24"/>
      <c r="MR26" s="24"/>
      <c r="MS26" s="24"/>
      <c r="MT26" s="24"/>
      <c r="MU26" s="24"/>
      <c r="MV26" s="24"/>
      <c r="MW26" s="38"/>
      <c r="MX26" s="24"/>
      <c r="MY26" s="24"/>
      <c r="MZ26" s="24"/>
      <c r="NA26" s="24"/>
      <c r="NB26" s="24"/>
      <c r="NC26" s="24"/>
      <c r="ND26" s="24"/>
      <c r="NE26" s="24"/>
      <c r="NF26" s="38"/>
      <c r="NG26" s="24"/>
      <c r="NH26" s="24"/>
      <c r="NI26" s="24"/>
      <c r="NJ26" s="24"/>
      <c r="NK26" s="24"/>
      <c r="NL26" s="24"/>
      <c r="NM26" s="24"/>
      <c r="NN26" s="24"/>
      <c r="NO26" s="38"/>
      <c r="NP26" s="24"/>
      <c r="NQ26" s="24"/>
      <c r="NR26" s="24"/>
      <c r="NS26" s="24"/>
      <c r="NT26" s="24"/>
      <c r="NU26" s="24"/>
      <c r="NV26" s="24"/>
      <c r="NW26" s="24"/>
      <c r="NX26" s="38"/>
      <c r="NY26" s="24"/>
      <c r="NZ26" s="24"/>
      <c r="OA26" s="24"/>
      <c r="OB26" s="24"/>
      <c r="OC26" s="24"/>
      <c r="OD26" s="24"/>
      <c r="OE26" s="24"/>
      <c r="OF26" s="24"/>
      <c r="OG26" s="38"/>
      <c r="OH26" s="24"/>
      <c r="OI26" s="24"/>
      <c r="OJ26" s="24"/>
      <c r="OK26" s="24"/>
      <c r="OL26" s="24"/>
      <c r="OM26" s="24"/>
      <c r="ON26" s="24"/>
      <c r="OO26" s="24"/>
      <c r="OP26" s="38"/>
      <c r="OQ26" s="24"/>
      <c r="OR26" s="24"/>
      <c r="OS26" s="24"/>
      <c r="OT26" s="24"/>
      <c r="OU26" s="24"/>
      <c r="OV26" s="24"/>
      <c r="OW26" s="24"/>
      <c r="OX26" s="24"/>
      <c r="OY26" s="38"/>
    </row>
    <row r="27" spans="1:424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  <c r="K27" s="24"/>
      <c r="L27" s="24"/>
      <c r="M27" s="24"/>
      <c r="N27" s="24"/>
      <c r="O27" s="24"/>
      <c r="P27" s="24"/>
      <c r="Q27" s="24"/>
      <c r="R27" s="24"/>
      <c r="S27" s="38"/>
      <c r="T27" s="24"/>
      <c r="U27" s="24"/>
      <c r="V27" s="24"/>
      <c r="W27" s="24"/>
      <c r="X27" s="24"/>
      <c r="Y27" s="24"/>
      <c r="Z27" s="24"/>
      <c r="AA27" s="24"/>
      <c r="AB27" s="38"/>
      <c r="AC27" s="24"/>
      <c r="AD27" s="24"/>
      <c r="AE27" s="24"/>
      <c r="AF27" s="24"/>
      <c r="AG27" s="24"/>
      <c r="AH27" s="24"/>
      <c r="AI27" s="24"/>
      <c r="AJ27" s="24"/>
      <c r="AK27" s="38"/>
      <c r="AL27" s="24"/>
      <c r="AM27" s="24"/>
      <c r="AN27" s="24"/>
      <c r="AO27" s="24"/>
      <c r="AP27" s="24"/>
      <c r="AQ27" s="24"/>
      <c r="AR27" s="24"/>
      <c r="AS27" s="24"/>
      <c r="AT27" s="38"/>
      <c r="AU27" s="24"/>
      <c r="AV27" s="24"/>
      <c r="AW27" s="24"/>
      <c r="AX27" s="24"/>
      <c r="AY27" s="24"/>
      <c r="AZ27" s="24"/>
      <c r="BA27" s="24"/>
      <c r="BB27" s="24"/>
      <c r="BC27" s="38"/>
      <c r="BD27" s="24"/>
      <c r="BE27" s="24"/>
      <c r="BF27" s="24"/>
      <c r="BG27" s="24"/>
      <c r="BH27" s="24"/>
      <c r="BI27" s="24"/>
      <c r="BJ27" s="24"/>
      <c r="BK27" s="24"/>
      <c r="BL27" s="38"/>
      <c r="BM27" s="24"/>
      <c r="BN27" s="24"/>
      <c r="BO27" s="24"/>
      <c r="BP27" s="24"/>
      <c r="BQ27" s="24"/>
      <c r="BR27" s="24"/>
      <c r="BS27" s="24"/>
      <c r="BT27" s="24"/>
      <c r="BU27" s="38"/>
      <c r="BV27" s="24"/>
      <c r="BW27" s="24"/>
      <c r="BX27" s="24"/>
      <c r="BY27" s="24"/>
      <c r="BZ27" s="24"/>
      <c r="CA27" s="24"/>
      <c r="CB27" s="24"/>
      <c r="CC27" s="24"/>
      <c r="CD27" s="38"/>
      <c r="CE27" s="24"/>
      <c r="CF27" s="24"/>
      <c r="CG27" s="24"/>
      <c r="CH27" s="24"/>
      <c r="CI27" s="24"/>
      <c r="CJ27" s="24"/>
      <c r="CK27" s="24"/>
      <c r="CL27" s="24"/>
      <c r="CM27" s="38"/>
      <c r="CN27" s="24"/>
      <c r="CO27" s="24"/>
      <c r="CP27" s="24"/>
      <c r="CQ27" s="24"/>
      <c r="CR27" s="24"/>
      <c r="CS27" s="24">
        <v>0</v>
      </c>
      <c r="CT27" s="24"/>
      <c r="CU27" s="24"/>
      <c r="CV27" s="38"/>
      <c r="CW27" s="24"/>
      <c r="CX27" s="24"/>
      <c r="CY27" s="24"/>
      <c r="CZ27" s="24"/>
      <c r="DA27" s="24"/>
      <c r="DB27" s="24"/>
      <c r="DC27" s="24"/>
      <c r="DD27" s="24"/>
      <c r="DE27" s="38"/>
      <c r="DF27" s="24"/>
      <c r="DG27" s="24"/>
      <c r="DH27" s="24"/>
      <c r="DI27" s="24"/>
      <c r="DJ27" s="24"/>
      <c r="DK27" s="24"/>
      <c r="DL27" s="24"/>
      <c r="DM27" s="24"/>
      <c r="DN27" s="38"/>
      <c r="DO27" s="24"/>
      <c r="DP27" s="24"/>
      <c r="DQ27" s="24"/>
      <c r="DR27" s="24"/>
      <c r="DS27" s="24"/>
      <c r="DT27" s="24"/>
      <c r="DU27" s="24"/>
      <c r="DV27" s="24"/>
      <c r="DW27" s="38"/>
      <c r="DX27" s="24"/>
      <c r="DY27" s="24"/>
      <c r="DZ27" s="24"/>
      <c r="EA27" s="24"/>
      <c r="EB27" s="24"/>
      <c r="EC27" s="24"/>
      <c r="ED27" s="24"/>
      <c r="EE27" s="24"/>
      <c r="EF27" s="38"/>
      <c r="EG27" s="24"/>
      <c r="EH27" s="24"/>
      <c r="EI27" s="24"/>
      <c r="EJ27" s="24"/>
      <c r="EK27" s="24"/>
      <c r="EL27" s="24"/>
      <c r="EM27" s="24"/>
      <c r="EN27" s="24"/>
      <c r="EO27" s="38"/>
      <c r="EP27" s="24"/>
      <c r="EQ27" s="24"/>
      <c r="ER27" s="24"/>
      <c r="ES27" s="24"/>
      <c r="ET27" s="24"/>
      <c r="EU27" s="24"/>
      <c r="EV27" s="24"/>
      <c r="EW27" s="24"/>
      <c r="EX27" s="38"/>
      <c r="EY27" s="24"/>
      <c r="EZ27" s="24"/>
      <c r="FA27" s="24"/>
      <c r="FB27" s="24"/>
      <c r="FC27" s="24"/>
      <c r="FD27" s="24"/>
      <c r="FE27" s="24"/>
      <c r="FF27" s="24"/>
      <c r="FG27" s="38"/>
      <c r="FH27" s="24"/>
      <c r="FI27" s="24"/>
      <c r="FJ27" s="24"/>
      <c r="FK27" s="24"/>
      <c r="FL27" s="24"/>
      <c r="FM27" s="24"/>
      <c r="FN27" s="24"/>
      <c r="FO27" s="24"/>
      <c r="FP27" s="38"/>
      <c r="FQ27" s="24"/>
      <c r="FR27" s="24"/>
      <c r="FS27" s="24"/>
      <c r="FT27" s="24"/>
      <c r="FU27" s="24"/>
      <c r="FV27" s="24"/>
      <c r="FW27" s="24"/>
      <c r="FX27" s="24"/>
      <c r="FY27" s="38"/>
      <c r="FZ27" s="24"/>
      <c r="GA27" s="24"/>
      <c r="GB27" s="24"/>
      <c r="GC27" s="24"/>
      <c r="GD27" s="24"/>
      <c r="GE27" s="24"/>
      <c r="GF27" s="24"/>
      <c r="GG27" s="24"/>
      <c r="GH27" s="38"/>
      <c r="GI27" s="24"/>
      <c r="GJ27" s="24"/>
      <c r="GK27" s="24"/>
      <c r="GL27" s="24"/>
      <c r="GM27" s="24"/>
      <c r="GN27" s="24"/>
      <c r="GO27" s="24"/>
      <c r="GP27" s="24"/>
      <c r="GQ27" s="38"/>
      <c r="GR27" s="24"/>
      <c r="GS27" s="24"/>
      <c r="GT27" s="24"/>
      <c r="GU27" s="24"/>
      <c r="GV27" s="24"/>
      <c r="GW27" s="24"/>
      <c r="GX27" s="24"/>
      <c r="GY27" s="24"/>
      <c r="GZ27" s="38"/>
      <c r="HA27" s="24"/>
      <c r="HB27" s="24"/>
      <c r="HC27" s="24"/>
      <c r="HD27" s="24"/>
      <c r="HE27" s="24"/>
      <c r="HF27" s="24"/>
      <c r="HG27" s="24"/>
      <c r="HH27" s="24"/>
      <c r="HI27" s="38"/>
      <c r="HJ27" s="24"/>
      <c r="HK27" s="24"/>
      <c r="HL27" s="24"/>
      <c r="HM27" s="24"/>
      <c r="HN27" s="24"/>
      <c r="HO27" s="24"/>
      <c r="HP27" s="24"/>
      <c r="HQ27" s="24"/>
      <c r="HR27" s="38"/>
      <c r="HS27" s="24">
        <v>73</v>
      </c>
      <c r="HT27" s="24">
        <v>29701215</v>
      </c>
      <c r="HU27" s="24">
        <v>77</v>
      </c>
      <c r="HV27" s="24">
        <v>29374083</v>
      </c>
      <c r="HW27" s="24">
        <v>145</v>
      </c>
      <c r="HX27" s="24">
        <v>47900314</v>
      </c>
      <c r="HY27" s="24">
        <v>49153701</v>
      </c>
      <c r="HZ27" s="24">
        <v>6327994</v>
      </c>
      <c r="IA27" s="38">
        <v>0.12870000000000001</v>
      </c>
      <c r="IB27" s="24">
        <v>54</v>
      </c>
      <c r="IC27" s="24">
        <v>24665825</v>
      </c>
      <c r="ID27" s="24">
        <v>85</v>
      </c>
      <c r="IE27" s="24">
        <v>31028029</v>
      </c>
      <c r="IF27" s="24">
        <v>114</v>
      </c>
      <c r="IG27" s="24">
        <v>41538110</v>
      </c>
      <c r="IH27" s="24">
        <v>45231649</v>
      </c>
      <c r="II27" s="24">
        <v>4548273</v>
      </c>
      <c r="IJ27" s="38">
        <v>0.10059999999999999</v>
      </c>
      <c r="IK27" s="24">
        <v>47</v>
      </c>
      <c r="IL27" s="24">
        <v>15830704</v>
      </c>
      <c r="IM27" s="24">
        <v>54</v>
      </c>
      <c r="IN27" s="24">
        <v>25130015</v>
      </c>
      <c r="IO27" s="24">
        <v>107</v>
      </c>
      <c r="IP27" s="24">
        <v>32238799</v>
      </c>
      <c r="IQ27" s="24">
        <v>31983543</v>
      </c>
      <c r="IR27" s="24">
        <v>3795774</v>
      </c>
      <c r="IS27" s="38">
        <v>0.1187</v>
      </c>
      <c r="IT27" s="24">
        <v>47</v>
      </c>
      <c r="IU27" s="24">
        <v>21467000</v>
      </c>
      <c r="IV27" s="24">
        <v>58</v>
      </c>
      <c r="IW27" s="24">
        <v>21478329</v>
      </c>
      <c r="IX27" s="24">
        <v>96</v>
      </c>
      <c r="IY27" s="24">
        <v>32227470</v>
      </c>
      <c r="IZ27" s="24">
        <v>28631372</v>
      </c>
      <c r="JA27" s="24">
        <v>2887126</v>
      </c>
      <c r="JB27" s="38">
        <v>0.1008</v>
      </c>
      <c r="JC27" s="24">
        <v>28</v>
      </c>
      <c r="JD27" s="24">
        <v>13800000</v>
      </c>
      <c r="JE27" s="24">
        <v>42</v>
      </c>
      <c r="JF27" s="24">
        <v>18667107</v>
      </c>
      <c r="JG27" s="24">
        <v>82</v>
      </c>
      <c r="JH27" s="24">
        <v>27360363</v>
      </c>
      <c r="JI27" s="24">
        <v>30317856</v>
      </c>
      <c r="JJ27" s="24">
        <v>2382075</v>
      </c>
      <c r="JK27" s="38">
        <v>7.8600000000000003E-2</v>
      </c>
      <c r="JL27" s="24">
        <v>23</v>
      </c>
      <c r="JM27" s="24">
        <v>8289000</v>
      </c>
      <c r="JN27" s="24">
        <v>34</v>
      </c>
      <c r="JO27" s="24">
        <v>16462607</v>
      </c>
      <c r="JP27" s="24">
        <v>71</v>
      </c>
      <c r="JQ27" s="24">
        <v>19189756</v>
      </c>
      <c r="JR27" s="24">
        <v>21643410</v>
      </c>
      <c r="JS27" s="24">
        <v>1654144</v>
      </c>
      <c r="JT27" s="38">
        <v>7.6399999999999996E-2</v>
      </c>
      <c r="JU27" s="24">
        <v>25</v>
      </c>
      <c r="JV27" s="24">
        <v>11022000</v>
      </c>
      <c r="JW27" s="24">
        <v>31</v>
      </c>
      <c r="JX27" s="24">
        <v>12276040</v>
      </c>
      <c r="JY27" s="24">
        <v>65</v>
      </c>
      <c r="JZ27" s="24">
        <v>17932716</v>
      </c>
      <c r="KA27" s="24">
        <v>17325024</v>
      </c>
      <c r="KB27" s="24">
        <v>1108054</v>
      </c>
      <c r="KC27" s="38">
        <v>6.4000000000000001E-2</v>
      </c>
      <c r="KD27" s="24">
        <v>19</v>
      </c>
      <c r="KE27" s="24">
        <v>10635000</v>
      </c>
      <c r="KF27" s="24">
        <v>26</v>
      </c>
      <c r="KG27" s="24">
        <v>11454448</v>
      </c>
      <c r="KH27" s="24">
        <v>58</v>
      </c>
      <c r="KI27" s="24">
        <v>17113268</v>
      </c>
      <c r="KJ27" s="24">
        <v>18672085</v>
      </c>
      <c r="KK27" s="24">
        <v>1416585</v>
      </c>
      <c r="KL27" s="38">
        <v>7.5899999999999995E-2</v>
      </c>
      <c r="KM27" s="24">
        <v>23</v>
      </c>
      <c r="KN27" s="24">
        <v>9910000</v>
      </c>
      <c r="KO27" s="24">
        <v>31</v>
      </c>
      <c r="KP27" s="24">
        <v>11337659</v>
      </c>
      <c r="KQ27" s="24">
        <v>50</v>
      </c>
      <c r="KR27" s="24">
        <v>15685609</v>
      </c>
      <c r="KS27" s="24">
        <v>17106139</v>
      </c>
      <c r="KT27" s="24">
        <v>1432663</v>
      </c>
      <c r="KU27" s="38">
        <v>8.3799999999999999E-2</v>
      </c>
      <c r="KV27" s="24">
        <v>1</v>
      </c>
      <c r="KW27" s="24">
        <v>700000</v>
      </c>
      <c r="KX27" s="24">
        <v>19</v>
      </c>
      <c r="KY27" s="24">
        <v>5935890</v>
      </c>
      <c r="KZ27" s="24">
        <v>32</v>
      </c>
      <c r="LA27" s="24">
        <v>10449719</v>
      </c>
      <c r="LB27" s="24">
        <v>13066431</v>
      </c>
      <c r="LC27" s="24">
        <v>1197552</v>
      </c>
      <c r="LD27" s="38">
        <v>9.1700000000000004E-2</v>
      </c>
      <c r="LE27" s="24">
        <v>0</v>
      </c>
      <c r="LF27" s="24">
        <v>0</v>
      </c>
      <c r="LG27" s="24">
        <v>5</v>
      </c>
      <c r="LH27" s="24">
        <v>5006397</v>
      </c>
      <c r="LI27" s="24">
        <v>27</v>
      </c>
      <c r="LJ27" s="24">
        <v>5443322</v>
      </c>
      <c r="LK27" s="24">
        <v>7940121</v>
      </c>
      <c r="LL27" s="24">
        <v>762523</v>
      </c>
      <c r="LM27" s="38">
        <v>9.6000000000000002E-2</v>
      </c>
      <c r="LN27" s="24"/>
      <c r="LO27" s="24"/>
      <c r="LP27" s="24">
        <v>12</v>
      </c>
      <c r="LQ27" s="24">
        <v>3644026</v>
      </c>
      <c r="LR27" s="24">
        <v>15</v>
      </c>
      <c r="LS27" s="24">
        <v>1799296</v>
      </c>
      <c r="LT27" s="24">
        <v>3232029</v>
      </c>
      <c r="LU27" s="24">
        <v>344833</v>
      </c>
      <c r="LV27" s="38">
        <v>0.1067</v>
      </c>
      <c r="LW27" s="24"/>
      <c r="LX27" s="24"/>
      <c r="LY27" s="24"/>
      <c r="LZ27" s="24"/>
      <c r="MA27" s="24"/>
      <c r="MB27" s="24"/>
      <c r="MC27" s="24"/>
      <c r="MD27" s="24"/>
      <c r="ME27" s="38"/>
      <c r="MF27" s="24"/>
      <c r="MG27" s="24"/>
      <c r="MH27" s="24"/>
      <c r="MI27" s="24"/>
      <c r="MJ27" s="24"/>
      <c r="MK27" s="24"/>
      <c r="ML27" s="24"/>
      <c r="MM27" s="24"/>
      <c r="MN27" s="38"/>
      <c r="MO27" s="24"/>
      <c r="MP27" s="24"/>
      <c r="MQ27" s="24"/>
      <c r="MR27" s="24"/>
      <c r="MS27" s="24"/>
      <c r="MT27" s="24"/>
      <c r="MU27" s="24"/>
      <c r="MV27" s="24"/>
      <c r="MW27" s="38"/>
      <c r="MX27" s="24"/>
      <c r="MY27" s="24"/>
      <c r="MZ27" s="24"/>
      <c r="NA27" s="24"/>
      <c r="NB27" s="24"/>
      <c r="NC27" s="24"/>
      <c r="ND27" s="24"/>
      <c r="NE27" s="24"/>
      <c r="NF27" s="38"/>
      <c r="NG27" s="24"/>
      <c r="NH27" s="24"/>
      <c r="NI27" s="24"/>
      <c r="NJ27" s="24"/>
      <c r="NK27" s="24"/>
      <c r="NL27" s="24"/>
      <c r="NM27" s="24"/>
      <c r="NN27" s="24"/>
      <c r="NO27" s="38"/>
      <c r="NP27" s="24"/>
      <c r="NQ27" s="24"/>
      <c r="NR27" s="24"/>
      <c r="NS27" s="24"/>
      <c r="NT27" s="24"/>
      <c r="NU27" s="24"/>
      <c r="NV27" s="24"/>
      <c r="NW27" s="24"/>
      <c r="NX27" s="38"/>
      <c r="NY27" s="24"/>
      <c r="NZ27" s="24"/>
      <c r="OA27" s="24"/>
      <c r="OB27" s="24"/>
      <c r="OC27" s="24"/>
      <c r="OD27" s="24"/>
      <c r="OE27" s="24"/>
      <c r="OF27" s="24"/>
      <c r="OG27" s="38"/>
      <c r="OH27" s="24"/>
      <c r="OI27" s="24"/>
      <c r="OJ27" s="24"/>
      <c r="OK27" s="24"/>
      <c r="OL27" s="24"/>
      <c r="OM27" s="24"/>
      <c r="ON27" s="24"/>
      <c r="OO27" s="24"/>
      <c r="OP27" s="38"/>
      <c r="OQ27" s="24"/>
      <c r="OR27" s="24"/>
      <c r="OS27" s="24"/>
      <c r="OT27" s="24"/>
      <c r="OU27" s="24"/>
      <c r="OV27" s="24"/>
      <c r="OW27" s="24"/>
      <c r="OX27" s="24"/>
      <c r="OY27" s="38"/>
    </row>
    <row r="28" spans="1:424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  <c r="K28" s="24"/>
      <c r="L28" s="24"/>
      <c r="M28" s="24"/>
      <c r="N28" s="24"/>
      <c r="O28" s="24"/>
      <c r="P28" s="24"/>
      <c r="Q28" s="24"/>
      <c r="R28" s="24"/>
      <c r="S28" s="38"/>
      <c r="T28" s="24"/>
      <c r="U28" s="24"/>
      <c r="V28" s="24"/>
      <c r="W28" s="24"/>
      <c r="X28" s="24"/>
      <c r="Y28" s="24"/>
      <c r="Z28" s="24"/>
      <c r="AA28" s="24"/>
      <c r="AB28" s="38"/>
      <c r="AC28" s="24"/>
      <c r="AD28" s="24"/>
      <c r="AE28" s="24"/>
      <c r="AF28" s="24"/>
      <c r="AG28" s="24"/>
      <c r="AH28" s="24"/>
      <c r="AI28" s="24"/>
      <c r="AJ28" s="24"/>
      <c r="AK28" s="38"/>
      <c r="AL28" s="24"/>
      <c r="AM28" s="24"/>
      <c r="AN28" s="24"/>
      <c r="AO28" s="24"/>
      <c r="AP28" s="24"/>
      <c r="AQ28" s="24"/>
      <c r="AR28" s="24"/>
      <c r="AS28" s="24"/>
      <c r="AT28" s="38"/>
      <c r="AU28" s="24"/>
      <c r="AV28" s="24"/>
      <c r="AW28" s="24"/>
      <c r="AX28" s="24"/>
      <c r="AY28" s="24"/>
      <c r="AZ28" s="24"/>
      <c r="BA28" s="24"/>
      <c r="BB28" s="24"/>
      <c r="BC28" s="38"/>
      <c r="BD28" s="24"/>
      <c r="BE28" s="24"/>
      <c r="BF28" s="24"/>
      <c r="BG28" s="24"/>
      <c r="BH28" s="24"/>
      <c r="BI28" s="24"/>
      <c r="BJ28" s="24"/>
      <c r="BK28" s="24"/>
      <c r="BL28" s="38"/>
      <c r="BM28" s="24"/>
      <c r="BN28" s="24"/>
      <c r="BO28" s="24"/>
      <c r="BP28" s="24"/>
      <c r="BQ28" s="24"/>
      <c r="BR28" s="24"/>
      <c r="BS28" s="24"/>
      <c r="BT28" s="24"/>
      <c r="BU28" s="38"/>
      <c r="BV28" s="24"/>
      <c r="BW28" s="24"/>
      <c r="BX28" s="24"/>
      <c r="BY28" s="24"/>
      <c r="BZ28" s="24"/>
      <c r="CA28" s="24"/>
      <c r="CB28" s="24"/>
      <c r="CC28" s="24"/>
      <c r="CD28" s="38"/>
      <c r="CE28" s="24"/>
      <c r="CF28" s="24"/>
      <c r="CG28" s="24"/>
      <c r="CH28" s="24"/>
      <c r="CI28" s="24"/>
      <c r="CJ28" s="24"/>
      <c r="CK28" s="24"/>
      <c r="CL28" s="24"/>
      <c r="CM28" s="38"/>
      <c r="CN28" s="24"/>
      <c r="CO28" s="24"/>
      <c r="CP28" s="24"/>
      <c r="CQ28" s="24"/>
      <c r="CR28" s="24"/>
      <c r="CS28" s="24"/>
      <c r="CT28" s="24"/>
      <c r="CU28" s="24"/>
      <c r="CV28" s="38"/>
      <c r="CW28" s="24"/>
      <c r="CX28" s="24"/>
      <c r="CY28" s="24"/>
      <c r="CZ28" s="24"/>
      <c r="DA28" s="24"/>
      <c r="DB28" s="24"/>
      <c r="DC28" s="24"/>
      <c r="DD28" s="24"/>
      <c r="DE28" s="38"/>
      <c r="DF28" s="24"/>
      <c r="DG28" s="24"/>
      <c r="DH28" s="24"/>
      <c r="DI28" s="24"/>
      <c r="DJ28" s="24"/>
      <c r="DK28" s="24"/>
      <c r="DL28" s="24"/>
      <c r="DM28" s="24"/>
      <c r="DN28" s="38"/>
      <c r="DO28" s="24"/>
      <c r="DP28" s="24"/>
      <c r="DQ28" s="24"/>
      <c r="DR28" s="24"/>
      <c r="DS28" s="24"/>
      <c r="DT28" s="24"/>
      <c r="DU28" s="24"/>
      <c r="DV28" s="24"/>
      <c r="DW28" s="38"/>
      <c r="DX28" s="24"/>
      <c r="DY28" s="24"/>
      <c r="DZ28" s="24"/>
      <c r="EA28" s="24"/>
      <c r="EB28" s="24"/>
      <c r="EC28" s="24"/>
      <c r="ED28" s="24"/>
      <c r="EE28" s="24"/>
      <c r="EF28" s="38"/>
      <c r="EG28" s="24"/>
      <c r="EH28" s="24"/>
      <c r="EI28" s="24"/>
      <c r="EJ28" s="24"/>
      <c r="EK28" s="24"/>
      <c r="EL28" s="24"/>
      <c r="EM28" s="24"/>
      <c r="EN28" s="24"/>
      <c r="EO28" s="38"/>
      <c r="EP28" s="24"/>
      <c r="EQ28" s="24"/>
      <c r="ER28" s="24"/>
      <c r="ES28" s="24"/>
      <c r="ET28" s="24"/>
      <c r="EU28" s="24"/>
      <c r="EV28" s="24"/>
      <c r="EW28" s="24"/>
      <c r="EX28" s="38"/>
      <c r="EY28" s="24"/>
      <c r="EZ28" s="24"/>
      <c r="FA28" s="24"/>
      <c r="FB28" s="24"/>
      <c r="FC28" s="24"/>
      <c r="FD28" s="24"/>
      <c r="FE28" s="24"/>
      <c r="FF28" s="24"/>
      <c r="FG28" s="38"/>
      <c r="FH28" s="24"/>
      <c r="FI28" s="24"/>
      <c r="FJ28" s="24"/>
      <c r="FK28" s="24"/>
      <c r="FL28" s="24"/>
      <c r="FM28" s="24"/>
      <c r="FN28" s="24"/>
      <c r="FO28" s="24"/>
      <c r="FP28" s="38"/>
      <c r="FQ28" s="24"/>
      <c r="FR28" s="24"/>
      <c r="FS28" s="24"/>
      <c r="FT28" s="24"/>
      <c r="FU28" s="24"/>
      <c r="FV28" s="24"/>
      <c r="FW28" s="24"/>
      <c r="FX28" s="24"/>
      <c r="FY28" s="38"/>
      <c r="FZ28" s="24"/>
      <c r="GA28" s="24"/>
      <c r="GB28" s="24"/>
      <c r="GC28" s="24"/>
      <c r="GD28" s="24"/>
      <c r="GE28" s="24"/>
      <c r="GF28" s="24"/>
      <c r="GG28" s="24"/>
      <c r="GH28" s="38"/>
      <c r="GI28" s="24"/>
      <c r="GJ28" s="24"/>
      <c r="GK28" s="24"/>
      <c r="GL28" s="24"/>
      <c r="GM28" s="24"/>
      <c r="GN28" s="24"/>
      <c r="GO28" s="24"/>
      <c r="GP28" s="24"/>
      <c r="GQ28" s="38"/>
      <c r="GR28" s="24"/>
      <c r="GS28" s="24"/>
      <c r="GT28" s="24"/>
      <c r="GU28" s="24"/>
      <c r="GV28" s="24"/>
      <c r="GW28" s="24"/>
      <c r="GX28" s="24"/>
      <c r="GY28" s="24"/>
      <c r="GZ28" s="38"/>
      <c r="HA28" s="24"/>
      <c r="HB28" s="24"/>
      <c r="HC28" s="24"/>
      <c r="HD28" s="24"/>
      <c r="HE28" s="24"/>
      <c r="HF28" s="24"/>
      <c r="HG28" s="24"/>
      <c r="HH28" s="24"/>
      <c r="HI28" s="38"/>
      <c r="HJ28" s="24"/>
      <c r="HK28" s="24"/>
      <c r="HL28" s="24"/>
      <c r="HM28" s="24"/>
      <c r="HN28" s="24"/>
      <c r="HO28" s="24"/>
      <c r="HP28" s="24"/>
      <c r="HQ28" s="24"/>
      <c r="HR28" s="38"/>
      <c r="HS28" s="24">
        <v>3</v>
      </c>
      <c r="HT28" s="24">
        <v>860485</v>
      </c>
      <c r="HU28" s="24">
        <v>11</v>
      </c>
      <c r="HV28" s="24">
        <v>1110952</v>
      </c>
      <c r="HW28" s="24">
        <v>5</v>
      </c>
      <c r="HX28" s="24">
        <v>975200</v>
      </c>
      <c r="HY28" s="24">
        <v>895038</v>
      </c>
      <c r="HZ28" s="24">
        <v>124750</v>
      </c>
      <c r="IA28" s="38">
        <v>0.1394</v>
      </c>
      <c r="IB28" s="24">
        <v>22</v>
      </c>
      <c r="IC28" s="24">
        <v>508200</v>
      </c>
      <c r="ID28" s="24">
        <v>23</v>
      </c>
      <c r="IE28" s="24">
        <v>818500</v>
      </c>
      <c r="IF28" s="24">
        <v>4</v>
      </c>
      <c r="IG28" s="24">
        <v>664900</v>
      </c>
      <c r="IH28" s="24">
        <v>786846</v>
      </c>
      <c r="II28" s="24">
        <v>94949</v>
      </c>
      <c r="IJ28" s="38">
        <v>0.1207</v>
      </c>
      <c r="IK28" s="24">
        <v>2</v>
      </c>
      <c r="IL28" s="24">
        <v>510000</v>
      </c>
      <c r="IM28" s="24">
        <v>3</v>
      </c>
      <c r="IN28" s="24">
        <v>517900</v>
      </c>
      <c r="IO28" s="24">
        <v>3</v>
      </c>
      <c r="IP28" s="24">
        <v>657000</v>
      </c>
      <c r="IQ28" s="24">
        <v>370996</v>
      </c>
      <c r="IR28" s="24">
        <v>50838</v>
      </c>
      <c r="IS28" s="38">
        <v>0.13700000000000001</v>
      </c>
      <c r="IT28" s="24">
        <v>0</v>
      </c>
      <c r="IU28" s="24">
        <v>0</v>
      </c>
      <c r="IV28" s="24">
        <v>1</v>
      </c>
      <c r="IW28" s="24">
        <v>390000</v>
      </c>
      <c r="IX28" s="24">
        <v>2</v>
      </c>
      <c r="IY28" s="24">
        <v>267000</v>
      </c>
      <c r="IZ28" s="24">
        <v>389041</v>
      </c>
      <c r="JA28" s="24">
        <v>56691</v>
      </c>
      <c r="JB28" s="38">
        <v>0.1457</v>
      </c>
      <c r="JC28" s="24">
        <v>0</v>
      </c>
      <c r="JD28" s="24">
        <v>0</v>
      </c>
      <c r="JE28" s="24">
        <v>1</v>
      </c>
      <c r="JF28" s="24">
        <v>182000</v>
      </c>
      <c r="JG28" s="24">
        <v>1</v>
      </c>
      <c r="JH28" s="24">
        <v>85000</v>
      </c>
      <c r="JI28" s="24">
        <v>155500</v>
      </c>
      <c r="JJ28" s="24">
        <v>19288</v>
      </c>
      <c r="JK28" s="38">
        <v>0.124</v>
      </c>
      <c r="JL28" s="24">
        <v>0</v>
      </c>
      <c r="JM28" s="24">
        <v>0</v>
      </c>
      <c r="JN28" s="24">
        <v>1</v>
      </c>
      <c r="JO28" s="24">
        <v>85000</v>
      </c>
      <c r="JP28" s="24">
        <v>0</v>
      </c>
      <c r="JQ28" s="24">
        <v>0</v>
      </c>
      <c r="JR28" s="24">
        <v>35962</v>
      </c>
      <c r="JS28" s="24">
        <v>4645</v>
      </c>
      <c r="JT28" s="38">
        <v>0.12920000000000001</v>
      </c>
      <c r="JU28" s="24"/>
      <c r="JV28" s="24"/>
      <c r="JW28" s="24"/>
      <c r="JX28" s="24"/>
      <c r="JY28" s="24"/>
      <c r="JZ28" s="24"/>
      <c r="KA28" s="24"/>
      <c r="KB28" s="24"/>
      <c r="KC28" s="38"/>
      <c r="KD28" s="24"/>
      <c r="KE28" s="24"/>
      <c r="KF28" s="24"/>
      <c r="KG28" s="24"/>
      <c r="KH28" s="24"/>
      <c r="KI28" s="24"/>
      <c r="KJ28" s="24"/>
      <c r="KK28" s="24"/>
      <c r="KL28" s="38"/>
      <c r="KM28" s="24"/>
      <c r="KN28" s="24"/>
      <c r="KO28" s="24"/>
      <c r="KP28" s="24"/>
      <c r="KQ28" s="24"/>
      <c r="KR28" s="24"/>
      <c r="KS28" s="24"/>
      <c r="KT28" s="24"/>
      <c r="KU28" s="38"/>
      <c r="KV28" s="24"/>
      <c r="KW28" s="24"/>
      <c r="KX28" s="24"/>
      <c r="KY28" s="24"/>
      <c r="KZ28" s="24"/>
      <c r="LA28" s="24"/>
      <c r="LB28" s="24"/>
      <c r="LC28" s="24"/>
      <c r="LD28" s="38"/>
      <c r="LE28" s="24"/>
      <c r="LF28" s="24"/>
      <c r="LG28" s="24"/>
      <c r="LH28" s="24"/>
      <c r="LI28" s="24"/>
      <c r="LJ28" s="24"/>
      <c r="LK28" s="24"/>
      <c r="LL28" s="24"/>
      <c r="LM28" s="38"/>
      <c r="LN28" s="24"/>
      <c r="LO28" s="24"/>
      <c r="LP28" s="24"/>
      <c r="LQ28" s="24"/>
      <c r="LR28" s="24"/>
      <c r="LS28" s="24"/>
      <c r="LT28" s="24"/>
      <c r="LU28" s="24"/>
      <c r="LV28" s="38"/>
      <c r="LW28" s="24"/>
      <c r="LX28" s="24"/>
      <c r="LY28" s="24"/>
      <c r="LZ28" s="24"/>
      <c r="MA28" s="24"/>
      <c r="MB28" s="24"/>
      <c r="MC28" s="24"/>
      <c r="MD28" s="24"/>
      <c r="ME28" s="38"/>
      <c r="MF28" s="24"/>
      <c r="MG28" s="24"/>
      <c r="MH28" s="24"/>
      <c r="MI28" s="24"/>
      <c r="MJ28" s="24"/>
      <c r="MK28" s="24"/>
      <c r="ML28" s="24"/>
      <c r="MM28" s="24"/>
      <c r="MN28" s="38"/>
      <c r="MO28" s="24"/>
      <c r="MP28" s="24"/>
      <c r="MQ28" s="24"/>
      <c r="MR28" s="24"/>
      <c r="MS28" s="24"/>
      <c r="MT28" s="24"/>
      <c r="MU28" s="24"/>
      <c r="MV28" s="24"/>
      <c r="MW28" s="38"/>
      <c r="MX28" s="24"/>
      <c r="MY28" s="24"/>
      <c r="MZ28" s="24"/>
      <c r="NA28" s="24"/>
      <c r="NB28" s="24"/>
      <c r="NC28" s="24"/>
      <c r="ND28" s="24"/>
      <c r="NE28" s="24"/>
      <c r="NF28" s="38"/>
      <c r="NG28" s="24"/>
      <c r="NH28" s="24"/>
      <c r="NI28" s="24"/>
      <c r="NJ28" s="24"/>
      <c r="NK28" s="24"/>
      <c r="NL28" s="24"/>
      <c r="NM28" s="24"/>
      <c r="NN28" s="24"/>
      <c r="NO28" s="38"/>
      <c r="NP28" s="24"/>
      <c r="NQ28" s="24"/>
      <c r="NR28" s="24"/>
      <c r="NS28" s="24"/>
      <c r="NT28" s="24"/>
      <c r="NU28" s="24"/>
      <c r="NV28" s="24"/>
      <c r="NW28" s="24"/>
      <c r="NX28" s="38"/>
      <c r="NY28" s="24"/>
      <c r="NZ28" s="24"/>
      <c r="OA28" s="24"/>
      <c r="OB28" s="24"/>
      <c r="OC28" s="24"/>
      <c r="OD28" s="24"/>
      <c r="OE28" s="24"/>
      <c r="OF28" s="24"/>
      <c r="OG28" s="38"/>
      <c r="OH28" s="24"/>
      <c r="OI28" s="24"/>
      <c r="OJ28" s="24"/>
      <c r="OK28" s="24"/>
      <c r="OL28" s="24"/>
      <c r="OM28" s="24"/>
      <c r="ON28" s="24"/>
      <c r="OO28" s="24"/>
      <c r="OP28" s="38"/>
      <c r="OQ28" s="24"/>
      <c r="OR28" s="24"/>
      <c r="OS28" s="24"/>
      <c r="OT28" s="24"/>
      <c r="OU28" s="24"/>
      <c r="OV28" s="24"/>
      <c r="OW28" s="24"/>
      <c r="OX28" s="24"/>
      <c r="OY28" s="38"/>
    </row>
    <row r="29" spans="1:424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  <c r="K29" s="24"/>
      <c r="L29" s="24"/>
      <c r="M29" s="24"/>
      <c r="N29" s="24"/>
      <c r="O29" s="24"/>
      <c r="P29" s="24"/>
      <c r="Q29" s="24"/>
      <c r="R29" s="24"/>
      <c r="S29" s="38"/>
      <c r="T29" s="24"/>
      <c r="U29" s="24"/>
      <c r="V29" s="24"/>
      <c r="W29" s="24"/>
      <c r="X29" s="24"/>
      <c r="Y29" s="24"/>
      <c r="Z29" s="24"/>
      <c r="AA29" s="24"/>
      <c r="AB29" s="38"/>
      <c r="AC29" s="24"/>
      <c r="AD29" s="24"/>
      <c r="AE29" s="24"/>
      <c r="AF29" s="24"/>
      <c r="AG29" s="24"/>
      <c r="AH29" s="24"/>
      <c r="AI29" s="24"/>
      <c r="AJ29" s="24"/>
      <c r="AK29" s="38"/>
      <c r="AL29" s="24"/>
      <c r="AM29" s="24"/>
      <c r="AN29" s="24"/>
      <c r="AO29" s="24"/>
      <c r="AP29" s="24"/>
      <c r="AQ29" s="24"/>
      <c r="AR29" s="24"/>
      <c r="AS29" s="24"/>
      <c r="AT29" s="38"/>
      <c r="AU29" s="24"/>
      <c r="AV29" s="24"/>
      <c r="AW29" s="24"/>
      <c r="AX29" s="24"/>
      <c r="AY29" s="24"/>
      <c r="AZ29" s="24"/>
      <c r="BA29" s="24"/>
      <c r="BB29" s="24"/>
      <c r="BC29" s="38"/>
      <c r="BD29" s="24"/>
      <c r="BE29" s="24"/>
      <c r="BF29" s="24"/>
      <c r="BG29" s="24"/>
      <c r="BH29" s="24"/>
      <c r="BI29" s="24"/>
      <c r="BJ29" s="24"/>
      <c r="BK29" s="24"/>
      <c r="BL29" s="38"/>
      <c r="BM29" s="24"/>
      <c r="BN29" s="24"/>
      <c r="BO29" s="24"/>
      <c r="BP29" s="24"/>
      <c r="BQ29" s="24"/>
      <c r="BR29" s="24"/>
      <c r="BS29" s="24"/>
      <c r="BT29" s="24"/>
      <c r="BU29" s="38"/>
      <c r="BV29" s="24"/>
      <c r="BW29" s="24"/>
      <c r="BX29" s="24"/>
      <c r="BY29" s="24"/>
      <c r="BZ29" s="24"/>
      <c r="CA29" s="24"/>
      <c r="CB29" s="24"/>
      <c r="CC29" s="24"/>
      <c r="CD29" s="38"/>
      <c r="CE29" s="24"/>
      <c r="CF29" s="24"/>
      <c r="CG29" s="24"/>
      <c r="CH29" s="24"/>
      <c r="CI29" s="24"/>
      <c r="CJ29" s="24"/>
      <c r="CK29" s="24"/>
      <c r="CL29" s="24"/>
      <c r="CM29" s="38"/>
      <c r="CN29" s="24"/>
      <c r="CO29" s="24"/>
      <c r="CP29" s="24"/>
      <c r="CQ29" s="24"/>
      <c r="CR29" s="24"/>
      <c r="CS29" s="24"/>
      <c r="CT29" s="24"/>
      <c r="CU29" s="24"/>
      <c r="CV29" s="38"/>
      <c r="CW29" s="24"/>
      <c r="CX29" s="24"/>
      <c r="CY29" s="24"/>
      <c r="CZ29" s="24"/>
      <c r="DA29" s="24"/>
      <c r="DB29" s="24"/>
      <c r="DC29" s="24"/>
      <c r="DD29" s="24"/>
      <c r="DE29" s="38"/>
      <c r="DF29" s="24"/>
      <c r="DG29" s="24"/>
      <c r="DH29" s="24"/>
      <c r="DI29" s="24"/>
      <c r="DJ29" s="24"/>
      <c r="DK29" s="24"/>
      <c r="DL29" s="24"/>
      <c r="DM29" s="24"/>
      <c r="DN29" s="38"/>
      <c r="DO29" s="24"/>
      <c r="DP29" s="24"/>
      <c r="DQ29" s="24"/>
      <c r="DR29" s="24"/>
      <c r="DS29" s="24"/>
      <c r="DT29" s="24"/>
      <c r="DU29" s="24"/>
      <c r="DV29" s="24"/>
      <c r="DW29" s="38"/>
      <c r="DX29" s="24"/>
      <c r="DY29" s="24"/>
      <c r="DZ29" s="24"/>
      <c r="EA29" s="24"/>
      <c r="EB29" s="24"/>
      <c r="EC29" s="24"/>
      <c r="ED29" s="24"/>
      <c r="EE29" s="24"/>
      <c r="EF29" s="38"/>
      <c r="EG29" s="24"/>
      <c r="EH29" s="24"/>
      <c r="EI29" s="24"/>
      <c r="EJ29" s="24"/>
      <c r="EK29" s="24"/>
      <c r="EL29" s="24"/>
      <c r="EM29" s="24"/>
      <c r="EN29" s="24"/>
      <c r="EO29" s="38"/>
      <c r="EP29" s="24"/>
      <c r="EQ29" s="24"/>
      <c r="ER29" s="24"/>
      <c r="ES29" s="24"/>
      <c r="ET29" s="24"/>
      <c r="EU29" s="24"/>
      <c r="EV29" s="24"/>
      <c r="EW29" s="24"/>
      <c r="EX29" s="38"/>
      <c r="EY29" s="24"/>
      <c r="EZ29" s="24"/>
      <c r="FA29" s="24"/>
      <c r="FB29" s="24"/>
      <c r="FC29" s="24"/>
      <c r="FD29" s="24"/>
      <c r="FE29" s="24"/>
      <c r="FF29" s="24"/>
      <c r="FG29" s="38"/>
      <c r="FH29" s="24"/>
      <c r="FI29" s="24"/>
      <c r="FJ29" s="24"/>
      <c r="FK29" s="24"/>
      <c r="FL29" s="24"/>
      <c r="FM29" s="24"/>
      <c r="FN29" s="24"/>
      <c r="FO29" s="24"/>
      <c r="FP29" s="38"/>
      <c r="FQ29" s="24"/>
      <c r="FR29" s="24"/>
      <c r="FS29" s="24"/>
      <c r="FT29" s="24"/>
      <c r="FU29" s="24"/>
      <c r="FV29" s="24"/>
      <c r="FW29" s="24"/>
      <c r="FX29" s="24"/>
      <c r="FY29" s="38"/>
      <c r="FZ29" s="24"/>
      <c r="GA29" s="24"/>
      <c r="GB29" s="24"/>
      <c r="GC29" s="24"/>
      <c r="GD29" s="24"/>
      <c r="GE29" s="24"/>
      <c r="GF29" s="24"/>
      <c r="GG29" s="24"/>
      <c r="GH29" s="38"/>
      <c r="GI29" s="24"/>
      <c r="GJ29" s="24"/>
      <c r="GK29" s="24"/>
      <c r="GL29" s="24"/>
      <c r="GM29" s="24"/>
      <c r="GN29" s="24"/>
      <c r="GO29" s="24"/>
      <c r="GP29" s="24"/>
      <c r="GQ29" s="38"/>
      <c r="GR29" s="24"/>
      <c r="GS29" s="24"/>
      <c r="GT29" s="24"/>
      <c r="GU29" s="24"/>
      <c r="GV29" s="24"/>
      <c r="GW29" s="24"/>
      <c r="GX29" s="24"/>
      <c r="GY29" s="24"/>
      <c r="GZ29" s="38"/>
      <c r="HA29" s="24"/>
      <c r="HB29" s="24"/>
      <c r="HC29" s="24"/>
      <c r="HD29" s="24"/>
      <c r="HE29" s="24"/>
      <c r="HF29" s="24"/>
      <c r="HG29" s="24"/>
      <c r="HH29" s="24"/>
      <c r="HI29" s="38"/>
      <c r="HJ29" s="24"/>
      <c r="HK29" s="24"/>
      <c r="HL29" s="24"/>
      <c r="HM29" s="24"/>
      <c r="HN29" s="24"/>
      <c r="HO29" s="24"/>
      <c r="HP29" s="24"/>
      <c r="HQ29" s="24"/>
      <c r="HR29" s="38"/>
      <c r="HS29" s="24">
        <v>199</v>
      </c>
      <c r="HT29" s="24">
        <v>2624750</v>
      </c>
      <c r="HU29" s="24">
        <v>220</v>
      </c>
      <c r="HV29" s="24">
        <v>3281750</v>
      </c>
      <c r="HW29" s="24">
        <v>34</v>
      </c>
      <c r="HX29" s="24">
        <v>975000</v>
      </c>
      <c r="HY29" s="24">
        <v>1129867</v>
      </c>
      <c r="HZ29" s="24">
        <v>45446</v>
      </c>
      <c r="IA29" s="38">
        <v>4.02E-2</v>
      </c>
      <c r="IB29" s="24">
        <v>139</v>
      </c>
      <c r="IC29" s="24">
        <v>1833700</v>
      </c>
      <c r="ID29" s="24">
        <v>147</v>
      </c>
      <c r="IE29" s="24">
        <v>2408300</v>
      </c>
      <c r="IF29" s="24">
        <v>26</v>
      </c>
      <c r="IG29" s="24">
        <v>400400</v>
      </c>
      <c r="IH29" s="24">
        <v>692650</v>
      </c>
      <c r="II29" s="24">
        <v>6233</v>
      </c>
      <c r="IJ29" s="38">
        <v>8.9999999999999993E-3</v>
      </c>
      <c r="IK29" s="24">
        <v>85</v>
      </c>
      <c r="IL29" s="24">
        <v>962000</v>
      </c>
      <c r="IM29" s="24">
        <v>103</v>
      </c>
      <c r="IN29" s="24">
        <v>1175400</v>
      </c>
      <c r="IO29" s="24">
        <v>8</v>
      </c>
      <c r="IP29" s="24">
        <v>187000</v>
      </c>
      <c r="IQ29" s="24">
        <v>205707</v>
      </c>
      <c r="IR29" s="24">
        <v>0</v>
      </c>
      <c r="IS29" s="38">
        <v>0</v>
      </c>
      <c r="IT29" s="24"/>
      <c r="IU29" s="24"/>
      <c r="IV29" s="24">
        <v>7</v>
      </c>
      <c r="IW29" s="24">
        <v>181000</v>
      </c>
      <c r="IX29" s="24">
        <v>1</v>
      </c>
      <c r="IY29" s="24">
        <v>6000</v>
      </c>
      <c r="IZ29" s="24">
        <v>80569</v>
      </c>
      <c r="JA29" s="24"/>
      <c r="JB29" s="38"/>
      <c r="JC29" s="24">
        <v>0</v>
      </c>
      <c r="JD29" s="24">
        <v>0</v>
      </c>
      <c r="JE29" s="24">
        <v>1</v>
      </c>
      <c r="JF29" s="24">
        <v>6000</v>
      </c>
      <c r="JG29" s="24">
        <v>0</v>
      </c>
      <c r="JH29" s="24">
        <v>0</v>
      </c>
      <c r="JI29" s="24">
        <v>500</v>
      </c>
      <c r="JJ29" s="24">
        <v>0</v>
      </c>
      <c r="JK29" s="38">
        <v>0</v>
      </c>
      <c r="JL29" s="24"/>
      <c r="JM29" s="24"/>
      <c r="JN29" s="24"/>
      <c r="JO29" s="24"/>
      <c r="JP29" s="24"/>
      <c r="JQ29" s="24"/>
      <c r="JR29" s="24"/>
      <c r="JS29" s="24"/>
      <c r="JT29" s="38"/>
      <c r="JU29" s="24"/>
      <c r="JV29" s="24"/>
      <c r="JW29" s="24"/>
      <c r="JX29" s="24"/>
      <c r="JY29" s="24"/>
      <c r="JZ29" s="24"/>
      <c r="KA29" s="24"/>
      <c r="KB29" s="24"/>
      <c r="KC29" s="38"/>
      <c r="KD29" s="24"/>
      <c r="KE29" s="24"/>
      <c r="KF29" s="24"/>
      <c r="KG29" s="24"/>
      <c r="KH29" s="24"/>
      <c r="KI29" s="24"/>
      <c r="KJ29" s="24"/>
      <c r="KK29" s="24"/>
      <c r="KL29" s="38"/>
      <c r="KM29" s="24"/>
      <c r="KN29" s="24"/>
      <c r="KO29" s="24"/>
      <c r="KP29" s="24"/>
      <c r="KQ29" s="24"/>
      <c r="KR29" s="24"/>
      <c r="KS29" s="24"/>
      <c r="KT29" s="24"/>
      <c r="KU29" s="38"/>
      <c r="KV29" s="24"/>
      <c r="KW29" s="24"/>
      <c r="KX29" s="24"/>
      <c r="KY29" s="24"/>
      <c r="KZ29" s="24"/>
      <c r="LA29" s="24"/>
      <c r="LB29" s="24"/>
      <c r="LC29" s="24"/>
      <c r="LD29" s="38"/>
      <c r="LE29" s="24"/>
      <c r="LF29" s="24"/>
      <c r="LG29" s="24"/>
      <c r="LH29" s="24"/>
      <c r="LI29" s="24"/>
      <c r="LJ29" s="24"/>
      <c r="LK29" s="24"/>
      <c r="LL29" s="24"/>
      <c r="LM29" s="38"/>
      <c r="LN29" s="24"/>
      <c r="LO29" s="24"/>
      <c r="LP29" s="24"/>
      <c r="LQ29" s="24"/>
      <c r="LR29" s="24"/>
      <c r="LS29" s="24"/>
      <c r="LT29" s="24"/>
      <c r="LU29" s="24"/>
      <c r="LV29" s="38"/>
      <c r="LW29" s="24"/>
      <c r="LX29" s="24"/>
      <c r="LY29" s="24"/>
      <c r="LZ29" s="24"/>
      <c r="MA29" s="24"/>
      <c r="MB29" s="24"/>
      <c r="MC29" s="24"/>
      <c r="MD29" s="24"/>
      <c r="ME29" s="38"/>
      <c r="MF29" s="24"/>
      <c r="MG29" s="24"/>
      <c r="MH29" s="24"/>
      <c r="MI29" s="24"/>
      <c r="MJ29" s="24"/>
      <c r="MK29" s="24"/>
      <c r="ML29" s="24"/>
      <c r="MM29" s="24"/>
      <c r="MN29" s="38"/>
      <c r="MO29" s="24"/>
      <c r="MP29" s="24"/>
      <c r="MQ29" s="24"/>
      <c r="MR29" s="24"/>
      <c r="MS29" s="24"/>
      <c r="MT29" s="24"/>
      <c r="MU29" s="24"/>
      <c r="MV29" s="24"/>
      <c r="MW29" s="38"/>
      <c r="MX29" s="24"/>
      <c r="MY29" s="24"/>
      <c r="MZ29" s="24"/>
      <c r="NA29" s="24"/>
      <c r="NB29" s="24"/>
      <c r="NC29" s="24"/>
      <c r="ND29" s="24"/>
      <c r="NE29" s="24"/>
      <c r="NF29" s="38"/>
      <c r="NG29" s="24"/>
      <c r="NH29" s="24"/>
      <c r="NI29" s="24"/>
      <c r="NJ29" s="24"/>
      <c r="NK29" s="24"/>
      <c r="NL29" s="24"/>
      <c r="NM29" s="24"/>
      <c r="NN29" s="24"/>
      <c r="NO29" s="38"/>
      <c r="NP29" s="24"/>
      <c r="NQ29" s="24"/>
      <c r="NR29" s="24"/>
      <c r="NS29" s="24"/>
      <c r="NT29" s="24"/>
      <c r="NU29" s="24"/>
      <c r="NV29" s="24"/>
      <c r="NW29" s="24"/>
      <c r="NX29" s="38"/>
      <c r="NY29" s="24"/>
      <c r="NZ29" s="24"/>
      <c r="OA29" s="24"/>
      <c r="OB29" s="24"/>
      <c r="OC29" s="24"/>
      <c r="OD29" s="24"/>
      <c r="OE29" s="24"/>
      <c r="OF29" s="24"/>
      <c r="OG29" s="38"/>
      <c r="OH29" s="24"/>
      <c r="OI29" s="24"/>
      <c r="OJ29" s="24"/>
      <c r="OK29" s="24"/>
      <c r="OL29" s="24"/>
      <c r="OM29" s="24"/>
      <c r="ON29" s="24"/>
      <c r="OO29" s="24"/>
      <c r="OP29" s="38"/>
      <c r="OQ29" s="24"/>
      <c r="OR29" s="24"/>
      <c r="OS29" s="24"/>
      <c r="OT29" s="24"/>
      <c r="OU29" s="24"/>
      <c r="OV29" s="24"/>
      <c r="OW29" s="24"/>
      <c r="OX29" s="24"/>
      <c r="OY29" s="38"/>
    </row>
    <row r="30" spans="1:424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  <c r="K30" s="24"/>
      <c r="L30" s="24"/>
      <c r="M30" s="24"/>
      <c r="N30" s="24"/>
      <c r="O30" s="24"/>
      <c r="P30" s="24"/>
      <c r="Q30" s="24"/>
      <c r="R30" s="24"/>
      <c r="S30" s="38"/>
      <c r="T30" s="24"/>
      <c r="U30" s="24"/>
      <c r="V30" s="24"/>
      <c r="W30" s="24"/>
      <c r="X30" s="24"/>
      <c r="Y30" s="24"/>
      <c r="Z30" s="24"/>
      <c r="AA30" s="24"/>
      <c r="AB30" s="38"/>
      <c r="AC30" s="24"/>
      <c r="AD30" s="24"/>
      <c r="AE30" s="24"/>
      <c r="AF30" s="24"/>
      <c r="AG30" s="24"/>
      <c r="AH30" s="24"/>
      <c r="AI30" s="24"/>
      <c r="AJ30" s="24"/>
      <c r="AK30" s="38"/>
      <c r="AL30" s="24"/>
      <c r="AM30" s="24"/>
      <c r="AN30" s="24"/>
      <c r="AO30" s="24"/>
      <c r="AP30" s="24"/>
      <c r="AQ30" s="24"/>
      <c r="AR30" s="24"/>
      <c r="AS30" s="24"/>
      <c r="AT30" s="38"/>
      <c r="AU30" s="24"/>
      <c r="AV30" s="24"/>
      <c r="AW30" s="24"/>
      <c r="AX30" s="24"/>
      <c r="AY30" s="24"/>
      <c r="AZ30" s="24"/>
      <c r="BA30" s="24"/>
      <c r="BB30" s="24"/>
      <c r="BC30" s="38"/>
      <c r="BD30" s="24"/>
      <c r="BE30" s="24"/>
      <c r="BF30" s="24"/>
      <c r="BG30" s="24"/>
      <c r="BH30" s="24"/>
      <c r="BI30" s="24"/>
      <c r="BJ30" s="24"/>
      <c r="BK30" s="24"/>
      <c r="BL30" s="38"/>
      <c r="BM30" s="24"/>
      <c r="BN30" s="24"/>
      <c r="BO30" s="24"/>
      <c r="BP30" s="24"/>
      <c r="BQ30" s="24"/>
      <c r="BR30" s="24"/>
      <c r="BS30" s="24"/>
      <c r="BT30" s="24"/>
      <c r="BU30" s="38"/>
      <c r="BV30" s="24"/>
      <c r="BW30" s="24"/>
      <c r="BX30" s="24"/>
      <c r="BY30" s="24"/>
      <c r="BZ30" s="24"/>
      <c r="CA30" s="24"/>
      <c r="CB30" s="24"/>
      <c r="CC30" s="24"/>
      <c r="CD30" s="38"/>
      <c r="CE30" s="24"/>
      <c r="CF30" s="24"/>
      <c r="CG30" s="24"/>
      <c r="CH30" s="24"/>
      <c r="CI30" s="24"/>
      <c r="CJ30" s="24"/>
      <c r="CK30" s="24"/>
      <c r="CL30" s="24"/>
      <c r="CM30" s="38"/>
      <c r="CN30" s="24"/>
      <c r="CO30" s="24"/>
      <c r="CP30" s="24"/>
      <c r="CQ30" s="24"/>
      <c r="CR30" s="24"/>
      <c r="CS30" s="24"/>
      <c r="CT30" s="24"/>
      <c r="CU30" s="24"/>
      <c r="CV30" s="38"/>
      <c r="CW30" s="24"/>
      <c r="CX30" s="24"/>
      <c r="CY30" s="24"/>
      <c r="CZ30" s="24"/>
      <c r="DA30" s="24"/>
      <c r="DB30" s="24"/>
      <c r="DC30" s="24"/>
      <c r="DD30" s="24"/>
      <c r="DE30" s="38"/>
      <c r="DF30" s="24"/>
      <c r="DG30" s="24"/>
      <c r="DH30" s="24"/>
      <c r="DI30" s="24"/>
      <c r="DJ30" s="24"/>
      <c r="DK30" s="24"/>
      <c r="DL30" s="24"/>
      <c r="DM30" s="24"/>
      <c r="DN30" s="38"/>
      <c r="DO30" s="24"/>
      <c r="DP30" s="24"/>
      <c r="DQ30" s="24"/>
      <c r="DR30" s="24"/>
      <c r="DS30" s="24"/>
      <c r="DT30" s="24"/>
      <c r="DU30" s="24"/>
      <c r="DV30" s="24"/>
      <c r="DW30" s="38"/>
      <c r="DX30" s="24"/>
      <c r="DY30" s="24"/>
      <c r="DZ30" s="24"/>
      <c r="EA30" s="24"/>
      <c r="EB30" s="24"/>
      <c r="EC30" s="24"/>
      <c r="ED30" s="24"/>
      <c r="EE30" s="24"/>
      <c r="EF30" s="38"/>
      <c r="EG30" s="24"/>
      <c r="EH30" s="24"/>
      <c r="EI30" s="24"/>
      <c r="EJ30" s="24"/>
      <c r="EK30" s="24"/>
      <c r="EL30" s="24"/>
      <c r="EM30" s="24"/>
      <c r="EN30" s="24"/>
      <c r="EO30" s="38"/>
      <c r="EP30" s="24"/>
      <c r="EQ30" s="24"/>
      <c r="ER30" s="24"/>
      <c r="ES30" s="24"/>
      <c r="ET30" s="24"/>
      <c r="EU30" s="24"/>
      <c r="EV30" s="24"/>
      <c r="EW30" s="24"/>
      <c r="EX30" s="38"/>
      <c r="EY30" s="24"/>
      <c r="EZ30" s="24"/>
      <c r="FA30" s="24"/>
      <c r="FB30" s="24"/>
      <c r="FC30" s="24"/>
      <c r="FD30" s="24"/>
      <c r="FE30" s="24"/>
      <c r="FF30" s="24"/>
      <c r="FG30" s="38"/>
      <c r="FH30" s="24"/>
      <c r="FI30" s="24"/>
      <c r="FJ30" s="24"/>
      <c r="FK30" s="24"/>
      <c r="FL30" s="24"/>
      <c r="FM30" s="24"/>
      <c r="FN30" s="24"/>
      <c r="FO30" s="24"/>
      <c r="FP30" s="38"/>
      <c r="FQ30" s="24"/>
      <c r="FR30" s="24"/>
      <c r="FS30" s="24"/>
      <c r="FT30" s="24"/>
      <c r="FU30" s="24"/>
      <c r="FV30" s="24"/>
      <c r="FW30" s="24"/>
      <c r="FX30" s="24"/>
      <c r="FY30" s="38"/>
      <c r="FZ30" s="24"/>
      <c r="GA30" s="24"/>
      <c r="GB30" s="24"/>
      <c r="GC30" s="24"/>
      <c r="GD30" s="24"/>
      <c r="GE30" s="24"/>
      <c r="GF30" s="24"/>
      <c r="GG30" s="24"/>
      <c r="GH30" s="38"/>
      <c r="GI30" s="24"/>
      <c r="GJ30" s="24"/>
      <c r="GK30" s="24"/>
      <c r="GL30" s="24"/>
      <c r="GM30" s="24"/>
      <c r="GN30" s="24"/>
      <c r="GO30" s="24"/>
      <c r="GP30" s="24"/>
      <c r="GQ30" s="38"/>
      <c r="GR30" s="24"/>
      <c r="GS30" s="24"/>
      <c r="GT30" s="24"/>
      <c r="GU30" s="24"/>
      <c r="GV30" s="24"/>
      <c r="GW30" s="24"/>
      <c r="GX30" s="24"/>
      <c r="GY30" s="24"/>
      <c r="GZ30" s="38"/>
      <c r="HA30" s="24"/>
      <c r="HB30" s="24"/>
      <c r="HC30" s="24"/>
      <c r="HD30" s="24"/>
      <c r="HE30" s="24"/>
      <c r="HF30" s="24"/>
      <c r="HG30" s="24"/>
      <c r="HH30" s="24"/>
      <c r="HI30" s="38"/>
      <c r="HJ30" s="24"/>
      <c r="HK30" s="24"/>
      <c r="HL30" s="24"/>
      <c r="HM30" s="24"/>
      <c r="HN30" s="24"/>
      <c r="HO30" s="24"/>
      <c r="HP30" s="24"/>
      <c r="HQ30" s="24"/>
      <c r="HR30" s="38"/>
      <c r="HS30" s="24">
        <v>404</v>
      </c>
      <c r="HT30" s="24">
        <v>1721191</v>
      </c>
      <c r="HU30" s="24">
        <v>404</v>
      </c>
      <c r="HV30" s="24">
        <v>1755066</v>
      </c>
      <c r="HW30" s="24">
        <v>18</v>
      </c>
      <c r="HX30" s="24">
        <v>105370</v>
      </c>
      <c r="HY30" s="24">
        <v>111069</v>
      </c>
      <c r="HZ30" s="24">
        <v>0</v>
      </c>
      <c r="IA30" s="38">
        <v>0</v>
      </c>
      <c r="IB30" s="24">
        <v>225</v>
      </c>
      <c r="IC30" s="24">
        <v>965660</v>
      </c>
      <c r="ID30" s="24">
        <v>230</v>
      </c>
      <c r="IE30" s="24">
        <v>838230</v>
      </c>
      <c r="IF30" s="24">
        <v>13</v>
      </c>
      <c r="IG30" s="24">
        <v>232800</v>
      </c>
      <c r="IH30" s="24">
        <v>155539</v>
      </c>
      <c r="II30" s="24">
        <v>0</v>
      </c>
      <c r="IJ30" s="38">
        <v>0</v>
      </c>
      <c r="IK30" s="24">
        <v>258</v>
      </c>
      <c r="IL30" s="24">
        <v>581940</v>
      </c>
      <c r="IM30" s="24">
        <v>267</v>
      </c>
      <c r="IN30" s="24">
        <v>759790</v>
      </c>
      <c r="IO30" s="24">
        <v>4</v>
      </c>
      <c r="IP30" s="24">
        <v>54950</v>
      </c>
      <c r="IQ30" s="24">
        <v>105665</v>
      </c>
      <c r="IR30" s="24">
        <v>0</v>
      </c>
      <c r="IS30" s="38">
        <v>0</v>
      </c>
      <c r="IT30" s="24"/>
      <c r="IU30" s="24"/>
      <c r="IV30" s="24">
        <v>4</v>
      </c>
      <c r="IW30" s="24">
        <v>54950</v>
      </c>
      <c r="IX30" s="24">
        <v>0</v>
      </c>
      <c r="IY30" s="24">
        <v>0</v>
      </c>
      <c r="IZ30" s="24">
        <v>14861</v>
      </c>
      <c r="JA30" s="24"/>
      <c r="JB30" s="38"/>
      <c r="JC30" s="24"/>
      <c r="JD30" s="24"/>
      <c r="JE30" s="24"/>
      <c r="JF30" s="24"/>
      <c r="JG30" s="24"/>
      <c r="JH30" s="24"/>
      <c r="JI30" s="24"/>
      <c r="JJ30" s="24"/>
      <c r="JK30" s="38"/>
      <c r="JL30" s="24"/>
      <c r="JM30" s="24"/>
      <c r="JN30" s="24"/>
      <c r="JO30" s="24"/>
      <c r="JP30" s="24"/>
      <c r="JQ30" s="24"/>
      <c r="JR30" s="24"/>
      <c r="JS30" s="24"/>
      <c r="JT30" s="38"/>
      <c r="JU30" s="24"/>
      <c r="JV30" s="24"/>
      <c r="JW30" s="24"/>
      <c r="JX30" s="24"/>
      <c r="JY30" s="24"/>
      <c r="JZ30" s="24"/>
      <c r="KA30" s="24"/>
      <c r="KB30" s="24"/>
      <c r="KC30" s="38"/>
      <c r="KD30" s="24"/>
      <c r="KE30" s="24"/>
      <c r="KF30" s="24"/>
      <c r="KG30" s="24"/>
      <c r="KH30" s="24"/>
      <c r="KI30" s="24"/>
      <c r="KJ30" s="24"/>
      <c r="KK30" s="24"/>
      <c r="KL30" s="38"/>
      <c r="KM30" s="24"/>
      <c r="KN30" s="24"/>
      <c r="KO30" s="24"/>
      <c r="KP30" s="24"/>
      <c r="KQ30" s="24"/>
      <c r="KR30" s="24"/>
      <c r="KS30" s="24"/>
      <c r="KT30" s="24"/>
      <c r="KU30" s="38"/>
      <c r="KV30" s="24"/>
      <c r="KW30" s="24"/>
      <c r="KX30" s="24"/>
      <c r="KY30" s="24"/>
      <c r="KZ30" s="24"/>
      <c r="LA30" s="24"/>
      <c r="LB30" s="24"/>
      <c r="LC30" s="24"/>
      <c r="LD30" s="38"/>
      <c r="LE30" s="24"/>
      <c r="LF30" s="24"/>
      <c r="LG30" s="24"/>
      <c r="LH30" s="24"/>
      <c r="LI30" s="24"/>
      <c r="LJ30" s="24"/>
      <c r="LK30" s="24"/>
      <c r="LL30" s="24"/>
      <c r="LM30" s="38"/>
      <c r="LN30" s="24"/>
      <c r="LO30" s="24"/>
      <c r="LP30" s="24"/>
      <c r="LQ30" s="24"/>
      <c r="LR30" s="24"/>
      <c r="LS30" s="24"/>
      <c r="LT30" s="24"/>
      <c r="LU30" s="24"/>
      <c r="LV30" s="38"/>
      <c r="LW30" s="24"/>
      <c r="LX30" s="24"/>
      <c r="LY30" s="24"/>
      <c r="LZ30" s="24"/>
      <c r="MA30" s="24"/>
      <c r="MB30" s="24"/>
      <c r="MC30" s="24"/>
      <c r="MD30" s="24"/>
      <c r="ME30" s="38"/>
      <c r="MF30" s="24"/>
      <c r="MG30" s="24"/>
      <c r="MH30" s="24"/>
      <c r="MI30" s="24"/>
      <c r="MJ30" s="24"/>
      <c r="MK30" s="24"/>
      <c r="ML30" s="24"/>
      <c r="MM30" s="24"/>
      <c r="MN30" s="38"/>
      <c r="MO30" s="24"/>
      <c r="MP30" s="24"/>
      <c r="MQ30" s="24"/>
      <c r="MR30" s="24"/>
      <c r="MS30" s="24"/>
      <c r="MT30" s="24"/>
      <c r="MU30" s="24"/>
      <c r="MV30" s="24"/>
      <c r="MW30" s="38"/>
      <c r="MX30" s="24"/>
      <c r="MY30" s="24"/>
      <c r="MZ30" s="24"/>
      <c r="NA30" s="24"/>
      <c r="NB30" s="24"/>
      <c r="NC30" s="24"/>
      <c r="ND30" s="24"/>
      <c r="NE30" s="24"/>
      <c r="NF30" s="38"/>
      <c r="NG30" s="24"/>
      <c r="NH30" s="24"/>
      <c r="NI30" s="24"/>
      <c r="NJ30" s="24"/>
      <c r="NK30" s="24"/>
      <c r="NL30" s="24"/>
      <c r="NM30" s="24"/>
      <c r="NN30" s="24"/>
      <c r="NO30" s="38"/>
      <c r="NP30" s="24"/>
      <c r="NQ30" s="24"/>
      <c r="NR30" s="24"/>
      <c r="NS30" s="24"/>
      <c r="NT30" s="24"/>
      <c r="NU30" s="24"/>
      <c r="NV30" s="24"/>
      <c r="NW30" s="24"/>
      <c r="NX30" s="38"/>
      <c r="NY30" s="24"/>
      <c r="NZ30" s="24"/>
      <c r="OA30" s="24"/>
      <c r="OB30" s="24"/>
      <c r="OC30" s="24"/>
      <c r="OD30" s="24"/>
      <c r="OE30" s="24"/>
      <c r="OF30" s="24"/>
      <c r="OG30" s="38"/>
      <c r="OH30" s="24"/>
      <c r="OI30" s="24"/>
      <c r="OJ30" s="24"/>
      <c r="OK30" s="24"/>
      <c r="OL30" s="24"/>
      <c r="OM30" s="24"/>
      <c r="ON30" s="24"/>
      <c r="OO30" s="24"/>
      <c r="OP30" s="38"/>
      <c r="OQ30" s="24"/>
      <c r="OR30" s="24"/>
      <c r="OS30" s="24"/>
      <c r="OT30" s="24"/>
      <c r="OU30" s="24"/>
      <c r="OV30" s="24"/>
      <c r="OW30" s="24"/>
      <c r="OX30" s="24"/>
      <c r="OY30" s="38"/>
    </row>
    <row r="31" spans="1:424" s="26" customFormat="1" x14ac:dyDescent="0.2">
      <c r="A31" s="36" t="s">
        <v>73</v>
      </c>
      <c r="B31" s="25">
        <f t="shared" ref="B31:I31" si="268">SUM(B18:B30)</f>
        <v>0</v>
      </c>
      <c r="C31" s="25">
        <f t="shared" si="268"/>
        <v>0</v>
      </c>
      <c r="D31" s="25">
        <f t="shared" si="268"/>
        <v>0</v>
      </c>
      <c r="E31" s="25">
        <f t="shared" si="268"/>
        <v>0</v>
      </c>
      <c r="F31" s="25">
        <f t="shared" si="268"/>
        <v>0</v>
      </c>
      <c r="G31" s="25">
        <f t="shared" si="268"/>
        <v>0</v>
      </c>
      <c r="H31" s="25">
        <f t="shared" si="268"/>
        <v>0</v>
      </c>
      <c r="I31" s="25">
        <f t="shared" si="268"/>
        <v>0</v>
      </c>
      <c r="J31" s="39" t="str">
        <f>IF(SUM(J18:J30)=0,"",SUM(J18:J30)/COUNT(J18:J30))</f>
        <v/>
      </c>
      <c r="K31" s="25">
        <f t="shared" ref="K31:R31" si="269">SUM(K18:K30)</f>
        <v>0</v>
      </c>
      <c r="L31" s="25">
        <f t="shared" si="269"/>
        <v>0</v>
      </c>
      <c r="M31" s="25">
        <f t="shared" si="269"/>
        <v>0</v>
      </c>
      <c r="N31" s="25">
        <f t="shared" si="269"/>
        <v>0</v>
      </c>
      <c r="O31" s="25">
        <f t="shared" si="269"/>
        <v>0</v>
      </c>
      <c r="P31" s="25">
        <f t="shared" si="269"/>
        <v>0</v>
      </c>
      <c r="Q31" s="25">
        <f t="shared" si="269"/>
        <v>0</v>
      </c>
      <c r="R31" s="25">
        <f t="shared" si="269"/>
        <v>0</v>
      </c>
      <c r="S31" s="39" t="str">
        <f>IF(SUM(S18:S30)=0,"",SUM(S18:S30)/COUNT(S18:S30))</f>
        <v/>
      </c>
      <c r="T31" s="25">
        <f t="shared" ref="T31:AA31" si="270">SUM(T18:T30)</f>
        <v>0</v>
      </c>
      <c r="U31" s="25">
        <f t="shared" si="270"/>
        <v>0</v>
      </c>
      <c r="V31" s="25">
        <f t="shared" si="270"/>
        <v>0</v>
      </c>
      <c r="W31" s="25">
        <f t="shared" si="270"/>
        <v>0</v>
      </c>
      <c r="X31" s="25">
        <f t="shared" si="270"/>
        <v>0</v>
      </c>
      <c r="Y31" s="25">
        <f t="shared" si="270"/>
        <v>0</v>
      </c>
      <c r="Z31" s="25">
        <f t="shared" si="270"/>
        <v>0</v>
      </c>
      <c r="AA31" s="25">
        <f t="shared" si="270"/>
        <v>0</v>
      </c>
      <c r="AB31" s="39" t="str">
        <f>IF(SUM(AB18:AB30)=0,"",SUM(AB18:AB30)/COUNT(AB18:AB30))</f>
        <v/>
      </c>
      <c r="AC31" s="25">
        <f t="shared" ref="AC31:AJ31" si="271">SUM(AC18:AC30)</f>
        <v>0</v>
      </c>
      <c r="AD31" s="25">
        <f t="shared" si="271"/>
        <v>0</v>
      </c>
      <c r="AE31" s="25">
        <f t="shared" si="271"/>
        <v>0</v>
      </c>
      <c r="AF31" s="25">
        <f t="shared" si="271"/>
        <v>0</v>
      </c>
      <c r="AG31" s="25">
        <f t="shared" si="271"/>
        <v>1170</v>
      </c>
      <c r="AH31" s="25">
        <f t="shared" si="271"/>
        <v>14539000</v>
      </c>
      <c r="AI31" s="25">
        <f t="shared" si="271"/>
        <v>0</v>
      </c>
      <c r="AJ31" s="25">
        <f t="shared" si="271"/>
        <v>0</v>
      </c>
      <c r="AK31" s="39" t="str">
        <f>IF(SUM(AK18:AK30)=0,"",SUM(AK18:AK30)/COUNT(AK18:AK30))</f>
        <v/>
      </c>
      <c r="AL31" s="25">
        <f t="shared" ref="AL31:AS31" si="272">SUM(AL18:AL30)</f>
        <v>3750</v>
      </c>
      <c r="AM31" s="25">
        <f t="shared" si="272"/>
        <v>62220000</v>
      </c>
      <c r="AN31" s="25">
        <f t="shared" si="272"/>
        <v>0</v>
      </c>
      <c r="AO31" s="25">
        <f t="shared" si="272"/>
        <v>18422000</v>
      </c>
      <c r="AP31" s="25">
        <f t="shared" si="272"/>
        <v>0</v>
      </c>
      <c r="AQ31" s="25">
        <f t="shared" si="272"/>
        <v>58337000</v>
      </c>
      <c r="AR31" s="25">
        <f t="shared" si="272"/>
        <v>38500000</v>
      </c>
      <c r="AS31" s="25">
        <f t="shared" si="272"/>
        <v>3273000</v>
      </c>
      <c r="AT31" s="39">
        <f>IF(SUM(AT18:AT30)=0,"",SUM(AT18:AT30)/COUNT(AT18:AT30))</f>
        <v>8.5000000000000006E-2</v>
      </c>
      <c r="AU31" s="25">
        <f t="shared" ref="AU31:BB31" si="273">SUM(AU18:AU30)</f>
        <v>1874</v>
      </c>
      <c r="AV31" s="25">
        <f t="shared" si="273"/>
        <v>30165211</v>
      </c>
      <c r="AW31" s="25">
        <f t="shared" si="273"/>
        <v>0</v>
      </c>
      <c r="AX31" s="25">
        <f t="shared" si="273"/>
        <v>27979884</v>
      </c>
      <c r="AY31" s="25">
        <f t="shared" si="273"/>
        <v>1915</v>
      </c>
      <c r="AZ31" s="25">
        <f t="shared" si="273"/>
        <v>16724564</v>
      </c>
      <c r="BA31" s="25">
        <f t="shared" si="273"/>
        <v>16205937</v>
      </c>
      <c r="BB31" s="25">
        <f t="shared" si="273"/>
        <v>2566000</v>
      </c>
      <c r="BC31" s="39" t="str">
        <f>IF(SUM(BC18:BC30)=0,"",SUM(BC18:BC30)/COUNT(BC18:BC30))</f>
        <v/>
      </c>
      <c r="BD31" s="25">
        <f t="shared" ref="BD31:BK31" si="274">SUM(BD18:BD30)</f>
        <v>0</v>
      </c>
      <c r="BE31" s="25">
        <f t="shared" si="274"/>
        <v>41344553</v>
      </c>
      <c r="BF31" s="25">
        <f t="shared" si="274"/>
        <v>0</v>
      </c>
      <c r="BG31" s="25">
        <f t="shared" si="274"/>
        <v>39197174</v>
      </c>
      <c r="BH31" s="25">
        <f t="shared" si="274"/>
        <v>2202</v>
      </c>
      <c r="BI31" s="25">
        <f t="shared" si="274"/>
        <v>18871943</v>
      </c>
      <c r="BJ31" s="25">
        <f t="shared" si="274"/>
        <v>17821945</v>
      </c>
      <c r="BK31" s="25">
        <f t="shared" si="274"/>
        <v>1941000</v>
      </c>
      <c r="BL31" s="39" t="str">
        <f>IF(SUM(BL18:BL30)=0,"",SUM(BL18:BL30)/COUNT(BL18:BL30))</f>
        <v/>
      </c>
      <c r="BM31" s="25">
        <f t="shared" ref="BM31:BT31" si="275">SUM(BM18:BM30)</f>
        <v>2844</v>
      </c>
      <c r="BN31" s="25">
        <f t="shared" si="275"/>
        <v>43852534</v>
      </c>
      <c r="BO31" s="25">
        <f t="shared" si="275"/>
        <v>2946</v>
      </c>
      <c r="BP31" s="25">
        <f t="shared" si="275"/>
        <v>44805037</v>
      </c>
      <c r="BQ31" s="25">
        <f t="shared" si="275"/>
        <v>2508</v>
      </c>
      <c r="BR31" s="25">
        <f t="shared" si="275"/>
        <v>18942875</v>
      </c>
      <c r="BS31" s="25">
        <f t="shared" si="275"/>
        <v>18754557</v>
      </c>
      <c r="BT31" s="25">
        <f t="shared" si="275"/>
        <v>3204000</v>
      </c>
      <c r="BU31" s="39" t="str">
        <f>IF(SUM(BU18:BU30)=0,"",SUM(BU18:BU30)/COUNT(BU18:BU30))</f>
        <v/>
      </c>
      <c r="BV31" s="25">
        <f t="shared" ref="BV31:CC31" si="276">SUM(BV18:BV30)</f>
        <v>3023</v>
      </c>
      <c r="BW31" s="25">
        <f t="shared" si="276"/>
        <v>53562000</v>
      </c>
      <c r="BX31" s="25">
        <f t="shared" si="276"/>
        <v>2730</v>
      </c>
      <c r="BY31" s="25">
        <f t="shared" si="276"/>
        <v>45772905</v>
      </c>
      <c r="BZ31" s="25">
        <f t="shared" si="276"/>
        <v>2801</v>
      </c>
      <c r="CA31" s="25">
        <f t="shared" si="276"/>
        <v>26731970</v>
      </c>
      <c r="CB31" s="25">
        <f t="shared" si="276"/>
        <v>21505583</v>
      </c>
      <c r="CC31" s="25">
        <f t="shared" si="276"/>
        <v>3922000</v>
      </c>
      <c r="CD31" s="39" t="str">
        <f>IF(SUM(CD18:CD30)=0,"",SUM(CD18:CD30)/COUNT(CD18:CD30))</f>
        <v/>
      </c>
      <c r="CE31" s="25">
        <f t="shared" ref="CE31:CL31" si="277">SUM(CE18:CE30)</f>
        <v>0</v>
      </c>
      <c r="CF31" s="25">
        <f t="shared" si="277"/>
        <v>0</v>
      </c>
      <c r="CG31" s="25">
        <f t="shared" si="277"/>
        <v>0</v>
      </c>
      <c r="CH31" s="25">
        <f t="shared" si="277"/>
        <v>0</v>
      </c>
      <c r="CI31" s="25">
        <f t="shared" si="277"/>
        <v>0</v>
      </c>
      <c r="CJ31" s="25">
        <f t="shared" si="277"/>
        <v>40140000</v>
      </c>
      <c r="CK31" s="25">
        <f t="shared" si="277"/>
        <v>0</v>
      </c>
      <c r="CL31" s="25">
        <f t="shared" si="277"/>
        <v>0</v>
      </c>
      <c r="CM31" s="39" t="str">
        <f>IF(SUM(CM18:CM30)=0,"",SUM(CM18:CM30)/COUNT(CM18:CM30))</f>
        <v/>
      </c>
      <c r="CN31" s="25">
        <f t="shared" ref="CN31:CU31" si="278">SUM(CN18:CN30)</f>
        <v>0</v>
      </c>
      <c r="CO31" s="25">
        <f t="shared" si="278"/>
        <v>0</v>
      </c>
      <c r="CP31" s="25">
        <f t="shared" si="278"/>
        <v>0</v>
      </c>
      <c r="CQ31" s="25">
        <f t="shared" si="278"/>
        <v>0</v>
      </c>
      <c r="CR31" s="25">
        <f t="shared" si="278"/>
        <v>0</v>
      </c>
      <c r="CS31" s="25">
        <f t="shared" si="278"/>
        <v>96527000</v>
      </c>
      <c r="CT31" s="25">
        <f t="shared" si="278"/>
        <v>0</v>
      </c>
      <c r="CU31" s="25">
        <f t="shared" si="278"/>
        <v>0</v>
      </c>
      <c r="CV31" s="39" t="str">
        <f>IF(SUM(CV18:CV30)=0,"",SUM(CV18:CV30)/COUNT(CV18:CV30))</f>
        <v/>
      </c>
      <c r="CW31" s="25">
        <f t="shared" ref="CW31:DD31" si="279">SUM(CW18:CW30)</f>
        <v>0</v>
      </c>
      <c r="CX31" s="25">
        <f t="shared" si="279"/>
        <v>0</v>
      </c>
      <c r="CY31" s="25">
        <f t="shared" si="279"/>
        <v>0</v>
      </c>
      <c r="CZ31" s="25">
        <f t="shared" si="279"/>
        <v>0</v>
      </c>
      <c r="DA31" s="25">
        <f t="shared" si="279"/>
        <v>0</v>
      </c>
      <c r="DB31" s="25">
        <f t="shared" si="279"/>
        <v>207018000</v>
      </c>
      <c r="DC31" s="25">
        <f t="shared" si="279"/>
        <v>0</v>
      </c>
      <c r="DD31" s="25">
        <f t="shared" si="279"/>
        <v>0</v>
      </c>
      <c r="DE31" s="39" t="str">
        <f>IF(SUM(DE18:DE30)=0,"",SUM(DE18:DE30)/COUNT(DE18:DE30))</f>
        <v/>
      </c>
      <c r="DF31" s="25">
        <f t="shared" ref="DF31:DM31" si="280">SUM(DF18:DF30)</f>
        <v>289</v>
      </c>
      <c r="DG31" s="25">
        <f t="shared" si="280"/>
        <v>111995000</v>
      </c>
      <c r="DH31" s="25">
        <f t="shared" si="280"/>
        <v>208</v>
      </c>
      <c r="DI31" s="25">
        <f t="shared" si="280"/>
        <v>129669000</v>
      </c>
      <c r="DJ31" s="25">
        <f t="shared" si="280"/>
        <v>468</v>
      </c>
      <c r="DK31" s="25">
        <f t="shared" si="280"/>
        <v>189344000</v>
      </c>
      <c r="DL31" s="25">
        <f t="shared" si="280"/>
        <v>198181000</v>
      </c>
      <c r="DM31" s="25">
        <f t="shared" si="280"/>
        <v>21328000</v>
      </c>
      <c r="DN31" s="39">
        <f>IF(SUM(DN18:DN30)=0,"",SUM(DN18:DN30)/COUNT(DN18:DN30))</f>
        <v>0.10239999999999999</v>
      </c>
      <c r="DO31" s="25">
        <f t="shared" ref="DO31:DV31" si="281">SUM(DO18:DO30)</f>
        <v>463</v>
      </c>
      <c r="DP31" s="25">
        <f t="shared" si="281"/>
        <v>144383542</v>
      </c>
      <c r="DQ31" s="25">
        <f t="shared" si="281"/>
        <v>271</v>
      </c>
      <c r="DR31" s="25">
        <f t="shared" si="281"/>
        <v>144774998</v>
      </c>
      <c r="DS31" s="25">
        <f t="shared" si="281"/>
        <v>660</v>
      </c>
      <c r="DT31" s="25">
        <f t="shared" si="281"/>
        <v>188953325</v>
      </c>
      <c r="DU31" s="25">
        <f t="shared" si="281"/>
        <v>183457310</v>
      </c>
      <c r="DV31" s="25">
        <f t="shared" si="281"/>
        <v>26503090</v>
      </c>
      <c r="DW31" s="39">
        <f>IF(SUM(DW18:DW30)=0,"",SUM(DW18:DW30)/COUNT(DW18:DW30))</f>
        <v>0.15510000000000002</v>
      </c>
      <c r="DX31" s="25">
        <f t="shared" ref="DX31:EE31" si="282">SUM(DX18:DX30)</f>
        <v>3229</v>
      </c>
      <c r="DY31" s="25">
        <f t="shared" si="282"/>
        <v>216521977</v>
      </c>
      <c r="DZ31" s="25">
        <f t="shared" si="282"/>
        <v>2837</v>
      </c>
      <c r="EA31" s="25">
        <f t="shared" si="282"/>
        <v>170260758</v>
      </c>
      <c r="EB31" s="25">
        <f t="shared" si="282"/>
        <v>1052</v>
      </c>
      <c r="EC31" s="25">
        <f t="shared" si="282"/>
        <v>235214544</v>
      </c>
      <c r="ED31" s="25">
        <f t="shared" si="282"/>
        <v>207588837</v>
      </c>
      <c r="EE31" s="25">
        <f t="shared" si="282"/>
        <v>30695724</v>
      </c>
      <c r="EF31" s="39">
        <f>IF(SUM(EF18:EF30)=0,"",SUM(EF18:EF30)/COUNT(EF18:EF30))</f>
        <v>0.15000000000000002</v>
      </c>
      <c r="EG31" s="25">
        <f t="shared" ref="EG31:EN31" si="283">SUM(EG18:EG30)</f>
        <v>2215</v>
      </c>
      <c r="EH31" s="25">
        <f t="shared" si="283"/>
        <v>282589797</v>
      </c>
      <c r="EI31" s="25">
        <f t="shared" si="283"/>
        <v>2321</v>
      </c>
      <c r="EJ31" s="25">
        <f t="shared" si="283"/>
        <v>195649580</v>
      </c>
      <c r="EK31" s="25">
        <f t="shared" si="283"/>
        <v>946</v>
      </c>
      <c r="EL31" s="25">
        <f t="shared" si="283"/>
        <v>322154761</v>
      </c>
      <c r="EM31" s="25">
        <f t="shared" si="283"/>
        <v>270947626</v>
      </c>
      <c r="EN31" s="25">
        <f t="shared" si="283"/>
        <v>36567128</v>
      </c>
      <c r="EO31" s="39">
        <f>IF(SUM(EO18:EO30)=0,"",SUM(EO18:EO30)/COUNT(EO18:EO30))</f>
        <v>0.13235000000000002</v>
      </c>
      <c r="EP31" s="25">
        <f t="shared" ref="EP31:EW31" si="284">SUM(EP18:EP30)</f>
        <v>3126</v>
      </c>
      <c r="EQ31" s="25">
        <f t="shared" si="284"/>
        <v>337093273</v>
      </c>
      <c r="ER31" s="25">
        <f t="shared" si="284"/>
        <v>2670</v>
      </c>
      <c r="ES31" s="25">
        <f t="shared" si="284"/>
        <v>261453301</v>
      </c>
      <c r="ET31" s="25">
        <f t="shared" si="284"/>
        <v>1429</v>
      </c>
      <c r="EU31" s="25">
        <f t="shared" si="284"/>
        <v>397794733</v>
      </c>
      <c r="EV31" s="25">
        <f t="shared" si="284"/>
        <v>376942521</v>
      </c>
      <c r="EW31" s="25">
        <f t="shared" si="284"/>
        <v>47543233</v>
      </c>
      <c r="EX31" s="39">
        <f>IF(SUM(EX18:EX30)=0,"",SUM(EX18:EX30)/COUNT(EX18:EX30))</f>
        <v>0.1288</v>
      </c>
      <c r="EY31" s="25">
        <f t="shared" ref="EY31:FF31" si="285">SUM(EY18:EY30)</f>
        <v>2191</v>
      </c>
      <c r="EZ31" s="25">
        <f t="shared" si="285"/>
        <v>371854967</v>
      </c>
      <c r="FA31" s="25">
        <f t="shared" si="285"/>
        <v>2435</v>
      </c>
      <c r="FB31" s="25">
        <f t="shared" si="285"/>
        <v>299368909</v>
      </c>
      <c r="FC31" s="25">
        <f t="shared" si="285"/>
        <v>1185</v>
      </c>
      <c r="FD31" s="25">
        <f t="shared" si="285"/>
        <v>470280791</v>
      </c>
      <c r="FE31" s="25">
        <f t="shared" si="285"/>
        <v>431890175</v>
      </c>
      <c r="FF31" s="25">
        <f t="shared" si="285"/>
        <v>57072371</v>
      </c>
      <c r="FG31" s="39">
        <f>IF(SUM(FG18:FG30)=0,"",SUM(FG18:FG30)/COUNT(FG18:FG30))</f>
        <v>0.12875</v>
      </c>
      <c r="FH31" s="25">
        <f t="shared" ref="FH31:FO31" si="286">SUM(FH18:FH30)</f>
        <v>2211</v>
      </c>
      <c r="FI31" s="25">
        <f t="shared" si="286"/>
        <v>281138091</v>
      </c>
      <c r="FJ31" s="25">
        <f t="shared" si="286"/>
        <v>2229</v>
      </c>
      <c r="FK31" s="25">
        <f t="shared" si="286"/>
        <v>304516437</v>
      </c>
      <c r="FL31" s="25">
        <f t="shared" si="286"/>
        <v>1167</v>
      </c>
      <c r="FM31" s="25">
        <f t="shared" si="286"/>
        <v>455659825</v>
      </c>
      <c r="FN31" s="25">
        <f t="shared" si="286"/>
        <v>464909903</v>
      </c>
      <c r="FO31" s="25">
        <f t="shared" si="286"/>
        <v>39842563</v>
      </c>
      <c r="FP31" s="39">
        <f>IF(SUM(FP18:FP30)=0,"",SUM(FP18:FP30)/COUNT(FP18:FP30))</f>
        <v>8.72E-2</v>
      </c>
      <c r="FQ31" s="25">
        <f t="shared" ref="FQ31:FX31" si="287">SUM(FQ18:FQ30)</f>
        <v>1915</v>
      </c>
      <c r="FR31" s="25">
        <f t="shared" si="287"/>
        <v>193671338</v>
      </c>
      <c r="FS31" s="25">
        <f t="shared" si="287"/>
        <v>2005</v>
      </c>
      <c r="FT31" s="25">
        <f t="shared" si="287"/>
        <v>277753170</v>
      </c>
      <c r="FU31" s="25">
        <f t="shared" si="287"/>
        <v>1077</v>
      </c>
      <c r="FV31" s="25">
        <f t="shared" si="287"/>
        <v>371577993</v>
      </c>
      <c r="FW31" s="25">
        <f t="shared" si="287"/>
        <v>425752384</v>
      </c>
      <c r="FX31" s="25">
        <f t="shared" si="287"/>
        <v>30546114</v>
      </c>
      <c r="FY31" s="39">
        <f>IF(SUM(FY18:FY30)=0,"",SUM(FY18:FY30)/COUNT(FY18:FY30))</f>
        <v>7.3550000000000004E-2</v>
      </c>
      <c r="FZ31" s="25">
        <f t="shared" ref="FZ31:GG31" si="288">SUM(FZ18:FZ30)</f>
        <v>1612</v>
      </c>
      <c r="GA31" s="25">
        <f t="shared" si="288"/>
        <v>104800239</v>
      </c>
      <c r="GB31" s="25">
        <f t="shared" si="288"/>
        <v>1320</v>
      </c>
      <c r="GC31" s="25">
        <f t="shared" si="288"/>
        <v>217609366</v>
      </c>
      <c r="GD31" s="25">
        <f t="shared" si="288"/>
        <v>1369</v>
      </c>
      <c r="GE31" s="25">
        <f t="shared" si="288"/>
        <v>258768866</v>
      </c>
      <c r="GF31" s="25">
        <f t="shared" si="288"/>
        <v>310131392</v>
      </c>
      <c r="GG31" s="25">
        <f t="shared" si="288"/>
        <v>22212506</v>
      </c>
      <c r="GH31" s="39">
        <f>IF(SUM(GH18:GH30)=0,"",SUM(GH18:GH30)/COUNT(GH18:GH30))</f>
        <v>7.3700000000000002E-2</v>
      </c>
      <c r="GI31" s="25">
        <f t="shared" ref="GI31:GP31" si="289">SUM(GI18:GI30)</f>
        <v>1379</v>
      </c>
      <c r="GJ31" s="25">
        <f t="shared" si="289"/>
        <v>95526086</v>
      </c>
      <c r="GK31" s="25">
        <f t="shared" si="289"/>
        <v>2080</v>
      </c>
      <c r="GL31" s="25">
        <f t="shared" si="289"/>
        <v>159250443</v>
      </c>
      <c r="GM31" s="25">
        <f t="shared" si="289"/>
        <v>668</v>
      </c>
      <c r="GN31" s="25">
        <f t="shared" si="289"/>
        <v>195044509</v>
      </c>
      <c r="GO31" s="25">
        <f t="shared" si="289"/>
        <v>222176366</v>
      </c>
      <c r="GP31" s="25">
        <f t="shared" si="289"/>
        <v>22265543</v>
      </c>
      <c r="GQ31" s="39">
        <f>IF(SUM(GQ18:GQ30)=0,"",SUM(GQ18:GQ30)/COUNT(GQ18:GQ30))</f>
        <v>0.10075000000000001</v>
      </c>
      <c r="GR31" s="25">
        <f t="shared" ref="GR31:GY31" si="290">SUM(GR18:GR30)</f>
        <v>1182</v>
      </c>
      <c r="GS31" s="25">
        <f t="shared" si="290"/>
        <v>81825644</v>
      </c>
      <c r="GT31" s="25">
        <f t="shared" si="290"/>
        <v>1276</v>
      </c>
      <c r="GU31" s="25">
        <f t="shared" si="290"/>
        <v>117079558</v>
      </c>
      <c r="GV31" s="25">
        <f t="shared" si="290"/>
        <v>574</v>
      </c>
      <c r="GW31" s="25">
        <f t="shared" si="290"/>
        <v>159790595</v>
      </c>
      <c r="GX31" s="25">
        <f t="shared" si="290"/>
        <v>174662419</v>
      </c>
      <c r="GY31" s="25">
        <f t="shared" si="290"/>
        <v>15500300</v>
      </c>
      <c r="GZ31" s="39">
        <f>IF(SUM(GZ18:GZ30)=0,"",SUM(GZ18:GZ30)/COUNT(GZ18:GZ30))</f>
        <v>8.8249999999999995E-2</v>
      </c>
      <c r="HA31" s="25">
        <f t="shared" ref="HA31:HH31" si="291">SUM(HA18:HA30)</f>
        <v>1022</v>
      </c>
      <c r="HB31" s="25">
        <f t="shared" si="291"/>
        <v>73408399</v>
      </c>
      <c r="HC31" s="25">
        <f t="shared" si="291"/>
        <v>1066</v>
      </c>
      <c r="HD31" s="25">
        <f t="shared" si="291"/>
        <v>99829416</v>
      </c>
      <c r="HE31" s="25">
        <f t="shared" si="291"/>
        <v>530</v>
      </c>
      <c r="HF31" s="25">
        <f t="shared" si="291"/>
        <v>133369578</v>
      </c>
      <c r="HG31" s="25">
        <f t="shared" si="291"/>
        <v>147935046</v>
      </c>
      <c r="HH31" s="25">
        <f t="shared" si="291"/>
        <v>13449116</v>
      </c>
      <c r="HI31" s="39">
        <f>IF(SUM(HI18:HI30)=0,"",SUM(HI18:HI30)/COUNT(HI18:HI30))</f>
        <v>0.13505</v>
      </c>
      <c r="HJ31" s="25">
        <f t="shared" ref="HJ31:HQ31" si="292">SUM(HJ18:HJ30)</f>
        <v>895</v>
      </c>
      <c r="HK31" s="25">
        <f t="shared" si="292"/>
        <v>52747420</v>
      </c>
      <c r="HL31" s="25">
        <f t="shared" si="292"/>
        <v>1018</v>
      </c>
      <c r="HM31" s="25">
        <f t="shared" si="292"/>
        <v>84058694</v>
      </c>
      <c r="HN31" s="25">
        <f t="shared" si="292"/>
        <v>407</v>
      </c>
      <c r="HO31" s="25">
        <f t="shared" si="292"/>
        <v>102058304</v>
      </c>
      <c r="HP31" s="25">
        <f t="shared" si="292"/>
        <v>119028494</v>
      </c>
      <c r="HQ31" s="25">
        <f t="shared" si="292"/>
        <v>10871109</v>
      </c>
      <c r="HR31" s="39">
        <f>IF(SUM(HR18:HR30)=0,"",SUM(HR18:HR30)/COUNT(HR18:HR30))</f>
        <v>7.7300000000000008E-2</v>
      </c>
      <c r="HS31" s="25">
        <f t="shared" ref="HS31:HZ31" si="293">SUM(HS18:HS30)</f>
        <v>723</v>
      </c>
      <c r="HT31" s="25">
        <f t="shared" si="293"/>
        <v>51327645</v>
      </c>
      <c r="HU31" s="25">
        <f t="shared" si="293"/>
        <v>818</v>
      </c>
      <c r="HV31" s="25">
        <f t="shared" si="293"/>
        <v>63638665</v>
      </c>
      <c r="HW31" s="25">
        <f t="shared" si="293"/>
        <v>312</v>
      </c>
      <c r="HX31" s="25">
        <f t="shared" si="293"/>
        <v>89747284</v>
      </c>
      <c r="HY31" s="25">
        <f t="shared" si="293"/>
        <v>96692104</v>
      </c>
      <c r="HZ31" s="25">
        <f t="shared" si="293"/>
        <v>11655412</v>
      </c>
      <c r="IA31" s="39">
        <f>IF(SUM(IA18:IA30)=0,"",SUM(IA18:IA30)/COUNT(IA18:IA30))</f>
        <v>9.8942857142857138E-2</v>
      </c>
      <c r="IB31" s="25">
        <f t="shared" ref="IB31:II31" si="294">SUM(IB18:IB30)</f>
        <v>465</v>
      </c>
      <c r="IC31" s="25">
        <f t="shared" si="294"/>
        <v>42437184</v>
      </c>
      <c r="ID31" s="25">
        <f t="shared" si="294"/>
        <v>556</v>
      </c>
      <c r="IE31" s="25">
        <f t="shared" si="294"/>
        <v>56468658</v>
      </c>
      <c r="IF31" s="25">
        <f t="shared" si="294"/>
        <v>221</v>
      </c>
      <c r="IG31" s="25">
        <f t="shared" si="294"/>
        <v>75715810</v>
      </c>
      <c r="IH31" s="25">
        <f t="shared" si="294"/>
        <v>82559732</v>
      </c>
      <c r="II31" s="25">
        <f t="shared" si="294"/>
        <v>7255321</v>
      </c>
      <c r="IJ31" s="39">
        <f>IF(SUM(IJ18:IJ30)=0,"",SUM(IJ18:IJ30)/COUNT(IJ18:IJ30))</f>
        <v>7.5285714285714289E-2</v>
      </c>
      <c r="IK31" s="25">
        <f t="shared" ref="IK31:IR31" si="295">SUM(IK18:IK30)</f>
        <v>414</v>
      </c>
      <c r="IL31" s="25">
        <f t="shared" si="295"/>
        <v>37072483</v>
      </c>
      <c r="IM31" s="25">
        <f t="shared" si="295"/>
        <v>464</v>
      </c>
      <c r="IN31" s="25">
        <f t="shared" si="295"/>
        <v>41122044</v>
      </c>
      <c r="IO31" s="25">
        <f t="shared" si="295"/>
        <v>171</v>
      </c>
      <c r="IP31" s="25">
        <f t="shared" si="295"/>
        <v>71666249</v>
      </c>
      <c r="IQ31" s="25">
        <f t="shared" si="295"/>
        <v>63672713</v>
      </c>
      <c r="IR31" s="25">
        <f t="shared" si="295"/>
        <v>6289365</v>
      </c>
      <c r="IS31" s="39">
        <f>IF(SUM(IS18:IS30)=0,"",SUM(IS18:IS30)/COUNT(IS18:IS30))</f>
        <v>8.0228571428571427E-2</v>
      </c>
      <c r="IT31" s="25">
        <f t="shared" ref="IT31:JA31" si="296">SUM(IT18:IT30)</f>
        <v>71</v>
      </c>
      <c r="IU31" s="25">
        <f t="shared" si="296"/>
        <v>37457659</v>
      </c>
      <c r="IV31" s="25">
        <f t="shared" si="296"/>
        <v>92</v>
      </c>
      <c r="IW31" s="25">
        <f t="shared" si="296"/>
        <v>40328871</v>
      </c>
      <c r="IX31" s="25">
        <f t="shared" si="296"/>
        <v>150</v>
      </c>
      <c r="IY31" s="25">
        <f t="shared" si="296"/>
        <v>68795037</v>
      </c>
      <c r="IZ31" s="25">
        <f t="shared" si="296"/>
        <v>61051942</v>
      </c>
      <c r="JA31" s="25">
        <f t="shared" si="296"/>
        <v>5392460</v>
      </c>
      <c r="JB31" s="39">
        <f>IF(SUM(JB18:JB30)=0,"",SUM(JB18:JB30)/COUNT(JB18:JB30))</f>
        <v>0.11856</v>
      </c>
      <c r="JC31" s="25">
        <f t="shared" ref="JC31:JJ31" si="297">SUM(JC18:JC30)</f>
        <v>46</v>
      </c>
      <c r="JD31" s="25">
        <f t="shared" si="297"/>
        <v>28454470</v>
      </c>
      <c r="JE31" s="25">
        <f t="shared" si="297"/>
        <v>68</v>
      </c>
      <c r="JF31" s="25">
        <f t="shared" si="297"/>
        <v>34192625</v>
      </c>
      <c r="JG31" s="25">
        <f t="shared" si="297"/>
        <v>128</v>
      </c>
      <c r="JH31" s="25">
        <f t="shared" si="297"/>
        <v>63056882</v>
      </c>
      <c r="JI31" s="25">
        <f t="shared" si="297"/>
        <v>66509371</v>
      </c>
      <c r="JJ31" s="25">
        <f t="shared" si="297"/>
        <v>4770428</v>
      </c>
      <c r="JK31" s="39">
        <f>IF(SUM(JK18:JK30)=0,"",SUM(JK18:JK30)/COUNT(JK18:JK30))</f>
        <v>8.486666666666666E-2</v>
      </c>
      <c r="JL31" s="25">
        <f t="shared" ref="JL31:JS31" si="298">SUM(JL18:JL30)</f>
        <v>37</v>
      </c>
      <c r="JM31" s="25">
        <f t="shared" si="298"/>
        <v>22170452</v>
      </c>
      <c r="JN31" s="25">
        <f t="shared" si="298"/>
        <v>49</v>
      </c>
      <c r="JO31" s="25">
        <f t="shared" si="298"/>
        <v>34295653</v>
      </c>
      <c r="JP31" s="25">
        <f t="shared" si="298"/>
        <v>116</v>
      </c>
      <c r="JQ31" s="25">
        <f t="shared" si="298"/>
        <v>50934681</v>
      </c>
      <c r="JR31" s="25">
        <f t="shared" si="298"/>
        <v>55139054</v>
      </c>
      <c r="JS31" s="25">
        <f t="shared" si="298"/>
        <v>3944719</v>
      </c>
      <c r="JT31" s="39">
        <f>IF(SUM(JT18:JT30)=0,"",SUM(JT18:JT30)/COUNT(JT18:JT30))</f>
        <v>9.1300000000000006E-2</v>
      </c>
      <c r="JU31" s="25">
        <f t="shared" ref="JU31:KB31" si="299">SUM(JU18:JU30)</f>
        <v>56</v>
      </c>
      <c r="JV31" s="25">
        <f t="shared" si="299"/>
        <v>35301821</v>
      </c>
      <c r="JW31" s="25">
        <f t="shared" si="299"/>
        <v>45</v>
      </c>
      <c r="JX31" s="25">
        <f t="shared" si="299"/>
        <v>26941155</v>
      </c>
      <c r="JY31" s="25">
        <f t="shared" si="299"/>
        <v>127</v>
      </c>
      <c r="JZ31" s="25">
        <f t="shared" si="299"/>
        <v>59292347</v>
      </c>
      <c r="KA31" s="25">
        <f t="shared" si="299"/>
        <v>47517299</v>
      </c>
      <c r="KB31" s="25">
        <f t="shared" si="299"/>
        <v>2726824</v>
      </c>
      <c r="KC31" s="39">
        <f>IF(SUM(KC18:KC30)=0,"",SUM(KC18:KC30)/COUNT(KC18:KC30))</f>
        <v>3.9833333333333332E-2</v>
      </c>
      <c r="KD31" s="25">
        <f t="shared" ref="KD31:KK31" si="300">SUM(KD18:KD30)</f>
        <v>62</v>
      </c>
      <c r="KE31" s="25">
        <f t="shared" si="300"/>
        <v>41305000</v>
      </c>
      <c r="KF31" s="25">
        <f t="shared" si="300"/>
        <v>48</v>
      </c>
      <c r="KG31" s="25">
        <f t="shared" si="300"/>
        <v>32652039</v>
      </c>
      <c r="KH31" s="25">
        <f t="shared" si="300"/>
        <v>141</v>
      </c>
      <c r="KI31" s="25">
        <f t="shared" si="300"/>
        <v>67945308</v>
      </c>
      <c r="KJ31" s="25">
        <f t="shared" si="300"/>
        <v>63273586</v>
      </c>
      <c r="KK31" s="25">
        <f t="shared" si="300"/>
        <v>4847784</v>
      </c>
      <c r="KL31" s="39">
        <f>IF(SUM(KL18:KL30)=0,"",SUM(KL18:KL30)/COUNT(KL18:KL30))</f>
        <v>7.8600000000000003E-2</v>
      </c>
      <c r="KM31" s="25">
        <f t="shared" ref="KM31:KT31" si="301">SUM(KM18:KM30)</f>
        <v>71</v>
      </c>
      <c r="KN31" s="25">
        <f t="shared" si="301"/>
        <v>44660000</v>
      </c>
      <c r="KO31" s="25">
        <f t="shared" si="301"/>
        <v>59</v>
      </c>
      <c r="KP31" s="25">
        <f t="shared" si="301"/>
        <v>32765403</v>
      </c>
      <c r="KQ31" s="25">
        <f t="shared" si="301"/>
        <v>153</v>
      </c>
      <c r="KR31" s="25">
        <f t="shared" si="301"/>
        <v>79839905</v>
      </c>
      <c r="KS31" s="25">
        <f t="shared" si="301"/>
        <v>72115363</v>
      </c>
      <c r="KT31" s="25">
        <f t="shared" si="301"/>
        <v>5908741</v>
      </c>
      <c r="KU31" s="39">
        <f>IF(SUM(KU18:KU30)=0,"",SUM(KU18:KU30)/COUNT(KU18:KU30))</f>
        <v>8.4383333333333324E-2</v>
      </c>
      <c r="KV31" s="25">
        <f t="shared" ref="KV31:LC31" si="302">SUM(KV18:KV30)</f>
        <v>212</v>
      </c>
      <c r="KW31" s="25">
        <f t="shared" si="302"/>
        <v>143093000</v>
      </c>
      <c r="KX31" s="25">
        <f t="shared" si="302"/>
        <v>69</v>
      </c>
      <c r="KY31" s="25">
        <f t="shared" si="302"/>
        <v>52801332</v>
      </c>
      <c r="KZ31" s="25">
        <f t="shared" si="302"/>
        <v>296</v>
      </c>
      <c r="LA31" s="25">
        <f t="shared" si="302"/>
        <v>170131573</v>
      </c>
      <c r="LB31" s="25">
        <f t="shared" si="302"/>
        <v>122908607</v>
      </c>
      <c r="LC31" s="25">
        <f t="shared" si="302"/>
        <v>12045917</v>
      </c>
      <c r="LD31" s="39">
        <f>IF(SUM(LD18:LD30)=0,"",SUM(LD18:LD30)/COUNT(LD18:LD30))</f>
        <v>9.2542857142857149E-2</v>
      </c>
      <c r="LE31" s="25">
        <f t="shared" ref="LE31:LL31" si="303">SUM(LE18:LE30)</f>
        <v>256</v>
      </c>
      <c r="LF31" s="25">
        <f t="shared" si="303"/>
        <v>162385610</v>
      </c>
      <c r="LG31" s="25">
        <f t="shared" si="303"/>
        <v>98</v>
      </c>
      <c r="LH31" s="25">
        <f t="shared" si="303"/>
        <v>79040038</v>
      </c>
      <c r="LI31" s="25">
        <f t="shared" si="303"/>
        <v>454</v>
      </c>
      <c r="LJ31" s="25">
        <f t="shared" si="303"/>
        <v>253477145</v>
      </c>
      <c r="LK31" s="25">
        <f t="shared" si="303"/>
        <v>212380257</v>
      </c>
      <c r="LL31" s="25">
        <f t="shared" si="303"/>
        <v>22074368</v>
      </c>
      <c r="LM31" s="39">
        <f>IF(SUM(LM18:LM30)=0,"",SUM(LM18:LM30)/COUNT(LM18:LM30))</f>
        <v>9.5571428571428557E-2</v>
      </c>
      <c r="LN31" s="25">
        <f t="shared" ref="LN31:LU31" si="304">SUM(LN18:LN30)</f>
        <v>201</v>
      </c>
      <c r="LO31" s="25">
        <f t="shared" si="304"/>
        <v>127770000</v>
      </c>
      <c r="LP31" s="25">
        <f t="shared" si="304"/>
        <v>164</v>
      </c>
      <c r="LQ31" s="25">
        <f t="shared" si="304"/>
        <v>105789823</v>
      </c>
      <c r="LR31" s="25">
        <f t="shared" si="304"/>
        <v>491</v>
      </c>
      <c r="LS31" s="25">
        <f t="shared" si="304"/>
        <v>275457322</v>
      </c>
      <c r="LT31" s="25">
        <f t="shared" si="304"/>
        <v>264961486</v>
      </c>
      <c r="LU31" s="25">
        <f t="shared" si="304"/>
        <v>27081819</v>
      </c>
      <c r="LV31" s="39">
        <f>IF(SUM(LV18:LV30)=0,"",SUM(LV18:LV30)/COUNT(LV18:LV30))</f>
        <v>0.10041428571428571</v>
      </c>
      <c r="LW31" s="25">
        <f t="shared" ref="LW31:MD31" si="305">SUM(LW18:LW30)</f>
        <v>126</v>
      </c>
      <c r="LX31" s="25">
        <f t="shared" si="305"/>
        <v>105080000</v>
      </c>
      <c r="LY31" s="25">
        <f t="shared" si="305"/>
        <v>171</v>
      </c>
      <c r="LZ31" s="25">
        <f t="shared" si="305"/>
        <v>117165776</v>
      </c>
      <c r="MA31" s="25">
        <f t="shared" si="305"/>
        <v>446</v>
      </c>
      <c r="MB31" s="25">
        <f t="shared" si="305"/>
        <v>263371546</v>
      </c>
      <c r="MC31" s="25">
        <f t="shared" si="305"/>
        <v>265883202</v>
      </c>
      <c r="MD31" s="25">
        <f t="shared" si="305"/>
        <v>25809971</v>
      </c>
      <c r="ME31" s="39">
        <f>IF(SUM(ME18:ME30)=0,"",SUM(ME18:ME30)/COUNT(ME18:ME30))</f>
        <v>9.8759999999999987E-2</v>
      </c>
      <c r="MF31" s="25">
        <f t="shared" ref="MF31:MM31" si="306">SUM(MF18:MF30)</f>
        <v>101</v>
      </c>
      <c r="MG31" s="25">
        <f t="shared" si="306"/>
        <v>121600000</v>
      </c>
      <c r="MH31" s="25">
        <f t="shared" si="306"/>
        <v>143</v>
      </c>
      <c r="MI31" s="25">
        <f t="shared" si="306"/>
        <v>103470842</v>
      </c>
      <c r="MJ31" s="25">
        <f t="shared" si="306"/>
        <v>404</v>
      </c>
      <c r="MK31" s="25">
        <f t="shared" si="306"/>
        <v>281500704</v>
      </c>
      <c r="ML31" s="25">
        <f t="shared" si="306"/>
        <v>271861385</v>
      </c>
      <c r="MM31" s="25">
        <f t="shared" si="306"/>
        <v>24957743</v>
      </c>
      <c r="MN31" s="39">
        <f>IF(SUM(MN18:MN30)=0,"",SUM(MN18:MN30)/COUNT(MN18:MN30))</f>
        <v>9.4560000000000005E-2</v>
      </c>
      <c r="MO31" s="25">
        <f t="shared" ref="MO31:MV31" si="307">SUM(MO18:MO30)</f>
        <v>74</v>
      </c>
      <c r="MP31" s="25">
        <f t="shared" si="307"/>
        <v>98840000</v>
      </c>
      <c r="MQ31" s="25">
        <f t="shared" si="307"/>
        <v>93</v>
      </c>
      <c r="MR31" s="25">
        <f t="shared" si="307"/>
        <v>93024142</v>
      </c>
      <c r="MS31" s="25">
        <f t="shared" si="307"/>
        <v>385</v>
      </c>
      <c r="MT31" s="25">
        <f t="shared" si="307"/>
        <v>287316562</v>
      </c>
      <c r="MU31" s="25">
        <f t="shared" si="307"/>
        <v>285666707</v>
      </c>
      <c r="MV31" s="25">
        <f t="shared" si="307"/>
        <v>27577942</v>
      </c>
      <c r="MW31" s="39">
        <f>IF(SUM(MW18:MW30)=0,"",SUM(MW18:MW30)/COUNT(MW18:MW30))</f>
        <v>8.6260000000000003E-2</v>
      </c>
      <c r="MX31" s="25">
        <f t="shared" ref="MX31:NE31" si="308">SUM(MX18:MX30)</f>
        <v>48</v>
      </c>
      <c r="MY31" s="25">
        <f t="shared" si="308"/>
        <v>66390000</v>
      </c>
      <c r="MZ31" s="25">
        <f t="shared" si="308"/>
        <v>92</v>
      </c>
      <c r="NA31" s="25">
        <f t="shared" si="308"/>
        <v>91551167</v>
      </c>
      <c r="NB31" s="25">
        <f t="shared" si="308"/>
        <v>341</v>
      </c>
      <c r="NC31" s="25">
        <f t="shared" si="308"/>
        <v>262155395</v>
      </c>
      <c r="ND31" s="25">
        <f t="shared" si="308"/>
        <v>272526703</v>
      </c>
      <c r="NE31" s="25">
        <f t="shared" si="308"/>
        <v>26600347</v>
      </c>
      <c r="NF31" s="39">
        <f>IF(SUM(NF18:NF30)=0,"",SUM(NF18:NF30)/COUNT(NF18:NF30))</f>
        <v>9.6479999999999996E-2</v>
      </c>
      <c r="NG31" s="25">
        <f t="shared" ref="NG31:NN31" si="309">SUM(NG18:NG30)</f>
        <v>55</v>
      </c>
      <c r="NH31" s="25">
        <f t="shared" si="309"/>
        <v>84600000</v>
      </c>
      <c r="NI31" s="25">
        <f t="shared" si="309"/>
        <v>86</v>
      </c>
      <c r="NJ31" s="25">
        <f t="shared" si="309"/>
        <v>86278184</v>
      </c>
      <c r="NK31" s="25">
        <f t="shared" si="309"/>
        <v>310</v>
      </c>
      <c r="NL31" s="25">
        <f t="shared" si="309"/>
        <v>260477211</v>
      </c>
      <c r="NM31" s="25">
        <f t="shared" si="309"/>
        <v>269191089</v>
      </c>
      <c r="NN31" s="25">
        <f t="shared" si="309"/>
        <v>26179150</v>
      </c>
      <c r="NO31" s="39">
        <f>IF(SUM(NO18:NO30)=0,"",SUM(NO18:NO30)/COUNT(NO18:NO30))</f>
        <v>0.1105</v>
      </c>
      <c r="NP31" s="25">
        <f t="shared" ref="NP31:NW31" si="310">SUM(NP18:NP30)</f>
        <v>52</v>
      </c>
      <c r="NQ31" s="25">
        <f t="shared" si="310"/>
        <v>83200000</v>
      </c>
      <c r="NR31" s="25">
        <f t="shared" si="310"/>
        <v>68</v>
      </c>
      <c r="NS31" s="25">
        <f t="shared" si="310"/>
        <v>85073901</v>
      </c>
      <c r="NT31" s="25">
        <f t="shared" si="310"/>
        <v>294</v>
      </c>
      <c r="NU31" s="25">
        <f t="shared" si="310"/>
        <v>258603310</v>
      </c>
      <c r="NV31" s="25">
        <f t="shared" si="310"/>
        <v>263031471</v>
      </c>
      <c r="NW31" s="25">
        <f t="shared" si="310"/>
        <v>25130497</v>
      </c>
      <c r="NX31" s="39">
        <f>IF(SUM(NX18:NX30)=0,"",SUM(NX18:NX30)/COUNT(NX18:NX30))</f>
        <v>0.13478000000000001</v>
      </c>
      <c r="NY31" s="25">
        <f t="shared" ref="NY31:OF31" si="311">SUM(NY18:NY30)</f>
        <v>28</v>
      </c>
      <c r="NZ31" s="25">
        <f t="shared" si="311"/>
        <v>39030000</v>
      </c>
      <c r="OA31" s="25">
        <f t="shared" si="311"/>
        <v>54</v>
      </c>
      <c r="OB31" s="25">
        <f t="shared" si="311"/>
        <v>81195907</v>
      </c>
      <c r="OC31" s="25">
        <f t="shared" si="311"/>
        <v>268</v>
      </c>
      <c r="OD31" s="25">
        <f t="shared" si="311"/>
        <v>216437403</v>
      </c>
      <c r="OE31" s="25">
        <f t="shared" si="311"/>
        <v>237129188</v>
      </c>
      <c r="OF31" s="25">
        <f t="shared" si="311"/>
        <v>23048423</v>
      </c>
      <c r="OG31" s="39">
        <f>IF(SUM(OG18:OG30)=0,"",SUM(OG18:OG30)/COUNT(OG18:OG30))</f>
        <v>9.6266666666666667E-2</v>
      </c>
      <c r="OH31" s="25">
        <f t="shared" ref="OH31:OO31" si="312">SUM(OH18:OH30)</f>
        <v>32</v>
      </c>
      <c r="OI31" s="25">
        <f t="shared" si="312"/>
        <v>49460000</v>
      </c>
      <c r="OJ31" s="25">
        <f t="shared" si="312"/>
        <v>56</v>
      </c>
      <c r="OK31" s="25">
        <f t="shared" si="312"/>
        <v>70992808</v>
      </c>
      <c r="OL31" s="25">
        <f t="shared" si="312"/>
        <v>244</v>
      </c>
      <c r="OM31" s="25">
        <f t="shared" si="312"/>
        <v>194904595</v>
      </c>
      <c r="ON31" s="25">
        <f t="shared" si="312"/>
        <v>202524572</v>
      </c>
      <c r="OO31" s="25">
        <f t="shared" si="312"/>
        <v>18921535</v>
      </c>
      <c r="OP31" s="39">
        <f>IF(SUM(OP18:OP30)=0,"",SUM(OP18:OP30)/COUNT(OP18:OP30))</f>
        <v>9.1800000000000007E-2</v>
      </c>
      <c r="OQ31" s="25">
        <f t="shared" ref="OQ31:OX31" si="313">SUM(OQ18:OQ30)</f>
        <v>26</v>
      </c>
      <c r="OR31" s="25">
        <f t="shared" si="313"/>
        <v>40750000</v>
      </c>
      <c r="OS31" s="25">
        <f t="shared" si="313"/>
        <v>61</v>
      </c>
      <c r="OT31" s="25">
        <f t="shared" si="313"/>
        <v>64135146</v>
      </c>
      <c r="OU31" s="25">
        <f t="shared" si="313"/>
        <v>209</v>
      </c>
      <c r="OV31" s="25">
        <f t="shared" si="313"/>
        <v>171519449</v>
      </c>
      <c r="OW31" s="25">
        <f t="shared" si="313"/>
        <v>178939920</v>
      </c>
      <c r="OX31" s="25">
        <f t="shared" si="313"/>
        <v>16838857</v>
      </c>
      <c r="OY31" s="39">
        <f>IF(SUM(OY18:OY30)=0,"",SUM(OY18:OY30)/COUNT(OY18:OY30))</f>
        <v>9.3866666666666654E-2</v>
      </c>
      <c r="OZ31" s="27">
        <f t="shared" ref="OZ31:PG31" si="314">SUM(OZ18:OZ30)</f>
        <v>0</v>
      </c>
      <c r="PA31" s="27">
        <f t="shared" si="314"/>
        <v>0</v>
      </c>
      <c r="PB31" s="27">
        <f t="shared" si="314"/>
        <v>0</v>
      </c>
      <c r="PC31" s="27">
        <f t="shared" si="314"/>
        <v>0</v>
      </c>
      <c r="PD31" s="27">
        <f t="shared" si="314"/>
        <v>0</v>
      </c>
      <c r="PE31" s="27">
        <f t="shared" si="314"/>
        <v>0</v>
      </c>
      <c r="PF31" s="27">
        <f t="shared" si="314"/>
        <v>0</v>
      </c>
      <c r="PG31" s="27">
        <f t="shared" si="314"/>
        <v>0</v>
      </c>
      <c r="PH31" s="28" t="str">
        <f>IF(SUM(PH18:PH30)=0,"",SUM(PH18:PH30)/COUNT(PH18:PH30))</f>
        <v/>
      </c>
    </row>
    <row r="32" spans="1:424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  <c r="K32" s="24"/>
      <c r="L32" s="24"/>
      <c r="M32" s="24"/>
      <c r="N32" s="24"/>
      <c r="O32" s="24"/>
      <c r="P32" s="24"/>
      <c r="Q32" s="24"/>
      <c r="R32" s="24"/>
      <c r="S32" s="38"/>
      <c r="T32" s="24"/>
      <c r="U32" s="24"/>
      <c r="V32" s="24"/>
      <c r="W32" s="24"/>
      <c r="X32" s="24"/>
      <c r="Y32" s="24"/>
      <c r="Z32" s="24"/>
      <c r="AA32" s="24"/>
      <c r="AB32" s="38"/>
      <c r="AC32" s="24"/>
      <c r="AD32" s="24"/>
      <c r="AE32" s="24"/>
      <c r="AF32" s="24"/>
      <c r="AG32" s="24"/>
      <c r="AH32" s="24"/>
      <c r="AI32" s="24"/>
      <c r="AJ32" s="24"/>
      <c r="AK32" s="38"/>
      <c r="AL32" s="24"/>
      <c r="AM32" s="24"/>
      <c r="AN32" s="24"/>
      <c r="AO32" s="24"/>
      <c r="AP32" s="24"/>
      <c r="AQ32" s="24"/>
      <c r="AR32" s="24"/>
      <c r="AS32" s="24"/>
      <c r="AT32" s="38"/>
      <c r="AU32" s="24"/>
      <c r="AV32" s="24"/>
      <c r="AW32" s="24"/>
      <c r="AX32" s="24"/>
      <c r="AY32" s="24"/>
      <c r="AZ32" s="24"/>
      <c r="BA32" s="24"/>
      <c r="BB32" s="24"/>
      <c r="BC32" s="38"/>
      <c r="BD32" s="24"/>
      <c r="BE32" s="24"/>
      <c r="BF32" s="24"/>
      <c r="BG32" s="24"/>
      <c r="BH32" s="24"/>
      <c r="BI32" s="24"/>
      <c r="BJ32" s="24"/>
      <c r="BK32" s="24"/>
      <c r="BL32" s="38"/>
      <c r="BM32" s="24"/>
      <c r="BN32" s="24"/>
      <c r="BO32" s="24"/>
      <c r="BP32" s="24"/>
      <c r="BQ32" s="24"/>
      <c r="BR32" s="24"/>
      <c r="BS32" s="24"/>
      <c r="BT32" s="24"/>
      <c r="BU32" s="38"/>
      <c r="BV32" s="24"/>
      <c r="BW32" s="24"/>
      <c r="BX32" s="24"/>
      <c r="BY32" s="24"/>
      <c r="BZ32" s="24"/>
      <c r="CA32" s="24"/>
      <c r="CB32" s="24"/>
      <c r="CC32" s="24"/>
      <c r="CD32" s="38"/>
      <c r="CE32" s="24"/>
      <c r="CF32" s="24"/>
      <c r="CG32" s="24"/>
      <c r="CH32" s="24"/>
      <c r="CI32" s="24"/>
      <c r="CJ32" s="24"/>
      <c r="CK32" s="24"/>
      <c r="CL32" s="24"/>
      <c r="CM32" s="38"/>
      <c r="CN32" s="24"/>
      <c r="CO32" s="24"/>
      <c r="CP32" s="24"/>
      <c r="CQ32" s="24"/>
      <c r="CR32" s="24"/>
      <c r="CS32" s="24"/>
      <c r="CT32" s="24"/>
      <c r="CU32" s="24"/>
      <c r="CV32" s="38"/>
      <c r="CW32" s="24"/>
      <c r="CX32" s="24"/>
      <c r="CY32" s="24"/>
      <c r="CZ32" s="24"/>
      <c r="DA32" s="24"/>
      <c r="DB32" s="24"/>
      <c r="DC32" s="24"/>
      <c r="DD32" s="24"/>
      <c r="DE32" s="38"/>
      <c r="DF32" s="24"/>
      <c r="DG32" s="24"/>
      <c r="DH32" s="24"/>
      <c r="DI32" s="24"/>
      <c r="DJ32" s="24"/>
      <c r="DK32" s="24"/>
      <c r="DL32" s="24"/>
      <c r="DM32" s="24"/>
      <c r="DN32" s="38"/>
      <c r="DO32" s="24"/>
      <c r="DP32" s="24"/>
      <c r="DQ32" s="24"/>
      <c r="DR32" s="24"/>
      <c r="DS32" s="24"/>
      <c r="DT32" s="24"/>
      <c r="DU32" s="24"/>
      <c r="DV32" s="24"/>
      <c r="DW32" s="38"/>
      <c r="DX32" s="24"/>
      <c r="DY32" s="24"/>
      <c r="DZ32" s="24"/>
      <c r="EA32" s="24"/>
      <c r="EB32" s="24"/>
      <c r="EC32" s="24"/>
      <c r="ED32" s="24"/>
      <c r="EE32" s="24"/>
      <c r="EF32" s="38"/>
      <c r="EG32" s="24"/>
      <c r="EH32" s="24"/>
      <c r="EI32" s="24"/>
      <c r="EJ32" s="24"/>
      <c r="EK32" s="24"/>
      <c r="EL32" s="24"/>
      <c r="EM32" s="24"/>
      <c r="EN32" s="24"/>
      <c r="EO32" s="38"/>
      <c r="EP32" s="24"/>
      <c r="EQ32" s="24"/>
      <c r="ER32" s="24"/>
      <c r="ES32" s="24"/>
      <c r="ET32" s="24"/>
      <c r="EU32" s="24"/>
      <c r="EV32" s="24"/>
      <c r="EW32" s="24"/>
      <c r="EX32" s="38"/>
      <c r="EY32" s="24"/>
      <c r="EZ32" s="24"/>
      <c r="FA32" s="24"/>
      <c r="FB32" s="24"/>
      <c r="FC32" s="24"/>
      <c r="FD32" s="24"/>
      <c r="FE32" s="24"/>
      <c r="FF32" s="24"/>
      <c r="FG32" s="38"/>
      <c r="FH32" s="24"/>
      <c r="FI32" s="24"/>
      <c r="FJ32" s="24"/>
      <c r="FK32" s="24"/>
      <c r="FL32" s="24"/>
      <c r="FM32" s="24"/>
      <c r="FN32" s="24"/>
      <c r="FO32" s="24"/>
      <c r="FP32" s="38"/>
      <c r="FQ32" s="24"/>
      <c r="FR32" s="24"/>
      <c r="FS32" s="24"/>
      <c r="FT32" s="24"/>
      <c r="FU32" s="24"/>
      <c r="FV32" s="24"/>
      <c r="FW32" s="24"/>
      <c r="FX32" s="24"/>
      <c r="FY32" s="38"/>
      <c r="FZ32" s="24"/>
      <c r="GA32" s="24"/>
      <c r="GB32" s="24"/>
      <c r="GC32" s="24"/>
      <c r="GD32" s="24"/>
      <c r="GE32" s="24"/>
      <c r="GF32" s="24"/>
      <c r="GG32" s="24"/>
      <c r="GH32" s="38"/>
      <c r="GI32" s="24"/>
      <c r="GJ32" s="24"/>
      <c r="GK32" s="24"/>
      <c r="GL32" s="24"/>
      <c r="GM32" s="24"/>
      <c r="GN32" s="24"/>
      <c r="GO32" s="24"/>
      <c r="GP32" s="24"/>
      <c r="GQ32" s="38"/>
      <c r="GR32" s="24"/>
      <c r="GS32" s="24"/>
      <c r="GT32" s="24"/>
      <c r="GU32" s="24"/>
      <c r="GV32" s="24"/>
      <c r="GW32" s="24"/>
      <c r="GX32" s="24"/>
      <c r="GY32" s="24"/>
      <c r="GZ32" s="38"/>
      <c r="HA32" s="24"/>
      <c r="HB32" s="24"/>
      <c r="HC32" s="24"/>
      <c r="HD32" s="24"/>
      <c r="HE32" s="24"/>
      <c r="HF32" s="24"/>
      <c r="HG32" s="24"/>
      <c r="HH32" s="24"/>
      <c r="HI32" s="38"/>
      <c r="HJ32" s="24"/>
      <c r="HK32" s="24"/>
      <c r="HL32" s="24"/>
      <c r="HM32" s="24"/>
      <c r="HN32" s="24"/>
      <c r="HO32" s="24"/>
      <c r="HP32" s="24"/>
      <c r="HQ32" s="24"/>
      <c r="HR32" s="38"/>
      <c r="HS32" s="24"/>
      <c r="HT32" s="24"/>
      <c r="HU32" s="24"/>
      <c r="HV32" s="24"/>
      <c r="HW32" s="24"/>
      <c r="HX32" s="24"/>
      <c r="HY32" s="24"/>
      <c r="HZ32" s="24"/>
      <c r="IA32" s="38"/>
      <c r="IB32" s="24">
        <v>3</v>
      </c>
      <c r="IC32" s="24">
        <v>24100000</v>
      </c>
      <c r="ID32" s="24">
        <v>3</v>
      </c>
      <c r="IE32" s="24">
        <v>18277894</v>
      </c>
      <c r="IF32" s="24">
        <v>20</v>
      </c>
      <c r="IG32" s="24">
        <v>89042814</v>
      </c>
      <c r="IH32" s="24">
        <v>85132148</v>
      </c>
      <c r="II32" s="24">
        <v>10921101</v>
      </c>
      <c r="IJ32" s="38">
        <v>0.1283</v>
      </c>
      <c r="IK32" s="24">
        <v>1</v>
      </c>
      <c r="IL32" s="24">
        <v>5000000</v>
      </c>
      <c r="IM32" s="24">
        <v>1</v>
      </c>
      <c r="IN32" s="24">
        <v>17152885</v>
      </c>
      <c r="IO32" s="24">
        <v>20</v>
      </c>
      <c r="IP32" s="24">
        <v>76889929</v>
      </c>
      <c r="IQ32" s="24">
        <v>81895522</v>
      </c>
      <c r="IR32" s="24">
        <v>10331394</v>
      </c>
      <c r="IS32" s="38">
        <v>0.12620000000000001</v>
      </c>
      <c r="IT32" s="24">
        <v>9</v>
      </c>
      <c r="IU32" s="24">
        <v>54500000</v>
      </c>
      <c r="IV32" s="24">
        <v>9</v>
      </c>
      <c r="IW32" s="24">
        <v>39407151</v>
      </c>
      <c r="IX32" s="24">
        <v>20</v>
      </c>
      <c r="IY32" s="24">
        <v>91982778</v>
      </c>
      <c r="IZ32" s="24">
        <v>82774746</v>
      </c>
      <c r="JA32" s="24">
        <v>9903760</v>
      </c>
      <c r="JB32" s="38">
        <v>0.1196</v>
      </c>
      <c r="JC32" s="24">
        <v>28</v>
      </c>
      <c r="JD32" s="24">
        <v>208900000</v>
      </c>
      <c r="JE32" s="24">
        <v>8</v>
      </c>
      <c r="JF32" s="24">
        <v>59246380</v>
      </c>
      <c r="JG32" s="24">
        <v>40</v>
      </c>
      <c r="JH32" s="24">
        <v>241636398</v>
      </c>
      <c r="JI32" s="24">
        <v>156436818</v>
      </c>
      <c r="JJ32" s="24">
        <v>16170525</v>
      </c>
      <c r="JK32" s="38">
        <v>0.10340000000000001</v>
      </c>
      <c r="JL32" s="24">
        <v>26</v>
      </c>
      <c r="JM32" s="24">
        <v>212300000</v>
      </c>
      <c r="JN32" s="24">
        <v>2</v>
      </c>
      <c r="JO32" s="24">
        <v>52844624</v>
      </c>
      <c r="JP32" s="24">
        <v>64</v>
      </c>
      <c r="JQ32" s="24">
        <v>401091774</v>
      </c>
      <c r="JR32" s="24">
        <v>330437454</v>
      </c>
      <c r="JS32" s="24">
        <v>34680456</v>
      </c>
      <c r="JT32" s="38">
        <v>0.105</v>
      </c>
      <c r="JU32" s="24">
        <v>54</v>
      </c>
      <c r="JV32" s="24">
        <v>401850000</v>
      </c>
      <c r="JW32" s="24">
        <v>10</v>
      </c>
      <c r="JX32" s="24">
        <v>109372200</v>
      </c>
      <c r="JY32" s="24">
        <v>108</v>
      </c>
      <c r="JZ32" s="24">
        <v>693569574</v>
      </c>
      <c r="KA32" s="24">
        <v>493013843</v>
      </c>
      <c r="KB32" s="24">
        <v>49420964</v>
      </c>
      <c r="KC32" s="38">
        <v>0.1002</v>
      </c>
      <c r="KD32" s="24">
        <v>55</v>
      </c>
      <c r="KE32" s="24">
        <v>391954282</v>
      </c>
      <c r="KF32" s="24">
        <v>18</v>
      </c>
      <c r="KG32" s="24">
        <v>179861492</v>
      </c>
      <c r="KH32" s="24">
        <v>145</v>
      </c>
      <c r="KI32" s="24">
        <v>905662364</v>
      </c>
      <c r="KJ32" s="24">
        <v>797516222</v>
      </c>
      <c r="KK32" s="24">
        <v>78337525</v>
      </c>
      <c r="KL32" s="38">
        <v>9.8199999999999996E-2</v>
      </c>
      <c r="KM32" s="24">
        <v>30</v>
      </c>
      <c r="KN32" s="24">
        <v>216200000</v>
      </c>
      <c r="KO32" s="24">
        <v>23</v>
      </c>
      <c r="KP32" s="24">
        <v>193773785</v>
      </c>
      <c r="KQ32" s="24">
        <v>152</v>
      </c>
      <c r="KR32" s="24">
        <v>928088579</v>
      </c>
      <c r="KS32" s="24">
        <v>915321531</v>
      </c>
      <c r="KT32" s="24">
        <v>86152870</v>
      </c>
      <c r="KU32" s="38">
        <v>9.4100000000000003E-2</v>
      </c>
      <c r="KV32" s="24">
        <v>16</v>
      </c>
      <c r="KW32" s="24">
        <v>108050000</v>
      </c>
      <c r="KX32" s="24">
        <v>14</v>
      </c>
      <c r="KY32" s="24">
        <v>162391994</v>
      </c>
      <c r="KZ32" s="24">
        <v>154</v>
      </c>
      <c r="LA32" s="24">
        <v>873746585</v>
      </c>
      <c r="LB32" s="24">
        <v>896871609</v>
      </c>
      <c r="LC32" s="24">
        <v>78521826</v>
      </c>
      <c r="LD32" s="38">
        <v>8.7599999999999997E-2</v>
      </c>
      <c r="LE32" s="24">
        <v>7</v>
      </c>
      <c r="LF32" s="24">
        <v>50150000</v>
      </c>
      <c r="LG32" s="24">
        <v>10</v>
      </c>
      <c r="LH32" s="24">
        <v>124225855</v>
      </c>
      <c r="LI32" s="24">
        <v>151</v>
      </c>
      <c r="LJ32" s="24">
        <v>799670730</v>
      </c>
      <c r="LK32" s="24">
        <v>839794191</v>
      </c>
      <c r="LL32" s="24">
        <v>67909795</v>
      </c>
      <c r="LM32" s="38">
        <v>8.09E-2</v>
      </c>
      <c r="LN32" s="24">
        <v>8</v>
      </c>
      <c r="LO32" s="24">
        <v>55350000</v>
      </c>
      <c r="LP32" s="24">
        <v>13</v>
      </c>
      <c r="LQ32" s="24">
        <v>127498740</v>
      </c>
      <c r="LR32" s="24">
        <v>146</v>
      </c>
      <c r="LS32" s="24">
        <v>727521990</v>
      </c>
      <c r="LT32" s="24">
        <v>771068916</v>
      </c>
      <c r="LU32" s="24">
        <v>61232069</v>
      </c>
      <c r="LV32" s="38">
        <v>7.9399999999999998E-2</v>
      </c>
      <c r="LW32" s="24">
        <v>3</v>
      </c>
      <c r="LX32" s="24">
        <v>15730000</v>
      </c>
      <c r="LY32" s="24">
        <v>21</v>
      </c>
      <c r="LZ32" s="24">
        <v>127130789</v>
      </c>
      <c r="MA32" s="24">
        <v>128</v>
      </c>
      <c r="MB32" s="24">
        <v>616121201</v>
      </c>
      <c r="MC32" s="24">
        <v>667002105</v>
      </c>
      <c r="MD32" s="24">
        <v>46155299</v>
      </c>
      <c r="ME32" s="38">
        <v>6.9199999999999998E-2</v>
      </c>
      <c r="MF32" s="24">
        <v>7</v>
      </c>
      <c r="MG32" s="24">
        <v>26500000</v>
      </c>
      <c r="MH32" s="24">
        <v>16</v>
      </c>
      <c r="MI32" s="24">
        <v>106531490</v>
      </c>
      <c r="MJ32" s="24">
        <v>119</v>
      </c>
      <c r="MK32" s="24">
        <v>536089711</v>
      </c>
      <c r="ML32" s="24">
        <v>575374243</v>
      </c>
      <c r="MM32" s="24">
        <v>51602902</v>
      </c>
      <c r="MN32" s="38">
        <v>8.9700000000000002E-2</v>
      </c>
      <c r="MO32" s="24">
        <v>3</v>
      </c>
      <c r="MP32" s="24">
        <v>10550000</v>
      </c>
      <c r="MQ32" s="24">
        <v>20</v>
      </c>
      <c r="MR32" s="24">
        <v>72144182</v>
      </c>
      <c r="MS32" s="24">
        <v>102</v>
      </c>
      <c r="MT32" s="24">
        <v>474495529</v>
      </c>
      <c r="MU32" s="24">
        <v>503164776</v>
      </c>
      <c r="MV32" s="24">
        <v>35860544</v>
      </c>
      <c r="MW32" s="38">
        <v>7.1300000000000002E-2</v>
      </c>
      <c r="MX32" s="24">
        <v>3</v>
      </c>
      <c r="MY32" s="24">
        <v>20150000</v>
      </c>
      <c r="MZ32" s="24">
        <v>10</v>
      </c>
      <c r="NA32" s="24">
        <v>60520129</v>
      </c>
      <c r="NB32" s="24">
        <v>95</v>
      </c>
      <c r="NC32" s="24">
        <v>434125400</v>
      </c>
      <c r="ND32" s="24">
        <v>448141331</v>
      </c>
      <c r="NE32" s="24">
        <v>30324102</v>
      </c>
      <c r="NF32" s="38">
        <v>6.7699999999999996E-2</v>
      </c>
      <c r="NG32" s="24">
        <v>9</v>
      </c>
      <c r="NH32" s="24">
        <v>54800000</v>
      </c>
      <c r="NI32" s="24">
        <v>10</v>
      </c>
      <c r="NJ32" s="24">
        <v>85453008</v>
      </c>
      <c r="NK32" s="24">
        <v>94</v>
      </c>
      <c r="NL32" s="24">
        <v>403472392</v>
      </c>
      <c r="NM32" s="24">
        <v>414001078</v>
      </c>
      <c r="NN32" s="24">
        <v>31942710</v>
      </c>
      <c r="NO32" s="38">
        <v>7.7200000000000005E-2</v>
      </c>
      <c r="NP32" s="24">
        <v>6</v>
      </c>
      <c r="NQ32" s="24">
        <v>29230000</v>
      </c>
      <c r="NR32" s="24">
        <v>8</v>
      </c>
      <c r="NS32" s="24">
        <v>66796263</v>
      </c>
      <c r="NT32" s="24">
        <v>92</v>
      </c>
      <c r="NU32" s="24">
        <v>365906129</v>
      </c>
      <c r="NV32" s="24">
        <v>379115192</v>
      </c>
      <c r="NW32" s="24">
        <v>24447579</v>
      </c>
      <c r="NX32" s="38">
        <v>6.4500000000000002E-2</v>
      </c>
      <c r="NY32" s="24">
        <v>6</v>
      </c>
      <c r="NZ32" s="24">
        <v>34550000</v>
      </c>
      <c r="OA32" s="24">
        <v>8</v>
      </c>
      <c r="OB32" s="24">
        <v>54550978</v>
      </c>
      <c r="OC32" s="24">
        <v>90</v>
      </c>
      <c r="OD32" s="24">
        <v>345905151</v>
      </c>
      <c r="OE32" s="24">
        <v>358991559</v>
      </c>
      <c r="OF32" s="24">
        <v>23423687</v>
      </c>
      <c r="OG32" s="38">
        <v>6.5199999999999994E-2</v>
      </c>
      <c r="OH32" s="24">
        <v>4</v>
      </c>
      <c r="OI32" s="24">
        <v>28460000</v>
      </c>
      <c r="OJ32" s="24">
        <v>13</v>
      </c>
      <c r="OK32" s="24">
        <v>72851718</v>
      </c>
      <c r="OL32" s="24">
        <v>81</v>
      </c>
      <c r="OM32" s="24">
        <v>301513433</v>
      </c>
      <c r="ON32" s="24">
        <v>317314398</v>
      </c>
      <c r="OO32" s="24">
        <v>23626224</v>
      </c>
      <c r="OP32" s="38">
        <v>7.4499999999999997E-2</v>
      </c>
      <c r="OQ32" s="24">
        <v>4</v>
      </c>
      <c r="OR32" s="24">
        <v>26200000</v>
      </c>
      <c r="OS32" s="24">
        <v>9</v>
      </c>
      <c r="OT32" s="24">
        <v>51725141</v>
      </c>
      <c r="OU32" s="24">
        <v>76</v>
      </c>
      <c r="OV32" s="24">
        <v>275988292</v>
      </c>
      <c r="OW32" s="24">
        <v>292958527</v>
      </c>
      <c r="OX32" s="24">
        <v>18074905</v>
      </c>
      <c r="OY32" s="38">
        <v>6.1699999999999998E-2</v>
      </c>
    </row>
    <row r="33" spans="1:424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  <c r="K33" s="24"/>
      <c r="L33" s="24"/>
      <c r="M33" s="24"/>
      <c r="N33" s="24"/>
      <c r="O33" s="24"/>
      <c r="P33" s="24"/>
      <c r="Q33" s="24"/>
      <c r="R33" s="24"/>
      <c r="S33" s="38"/>
      <c r="T33" s="24"/>
      <c r="U33" s="24"/>
      <c r="V33" s="24"/>
      <c r="W33" s="24"/>
      <c r="X33" s="24"/>
      <c r="Y33" s="24"/>
      <c r="Z33" s="24"/>
      <c r="AA33" s="24"/>
      <c r="AB33" s="38"/>
      <c r="AC33" s="24"/>
      <c r="AD33" s="24"/>
      <c r="AE33" s="24"/>
      <c r="AF33" s="24"/>
      <c r="AG33" s="24"/>
      <c r="AH33" s="24"/>
      <c r="AI33" s="24"/>
      <c r="AJ33" s="24"/>
      <c r="AK33" s="38"/>
      <c r="AL33" s="24"/>
      <c r="AM33" s="24"/>
      <c r="AN33" s="24"/>
      <c r="AO33" s="24"/>
      <c r="AP33" s="24"/>
      <c r="AQ33" s="24"/>
      <c r="AR33" s="24"/>
      <c r="AS33" s="24"/>
      <c r="AT33" s="38"/>
      <c r="AU33" s="24"/>
      <c r="AV33" s="24"/>
      <c r="AW33" s="24"/>
      <c r="AX33" s="24"/>
      <c r="AY33" s="24"/>
      <c r="AZ33" s="24"/>
      <c r="BA33" s="24"/>
      <c r="BB33" s="24"/>
      <c r="BC33" s="38"/>
      <c r="BD33" s="24"/>
      <c r="BE33" s="24"/>
      <c r="BF33" s="24"/>
      <c r="BG33" s="24"/>
      <c r="BH33" s="24"/>
      <c r="BI33" s="24"/>
      <c r="BJ33" s="24"/>
      <c r="BK33" s="24"/>
      <c r="BL33" s="38"/>
      <c r="BM33" s="24"/>
      <c r="BN33" s="24"/>
      <c r="BO33" s="24"/>
      <c r="BP33" s="24"/>
      <c r="BQ33" s="24"/>
      <c r="BR33" s="24"/>
      <c r="BS33" s="24"/>
      <c r="BT33" s="24"/>
      <c r="BU33" s="38"/>
      <c r="BV33" s="24"/>
      <c r="BW33" s="24"/>
      <c r="BX33" s="24"/>
      <c r="BY33" s="24"/>
      <c r="BZ33" s="24"/>
      <c r="CA33" s="24"/>
      <c r="CB33" s="24"/>
      <c r="CC33" s="24"/>
      <c r="CD33" s="38"/>
      <c r="CE33" s="24"/>
      <c r="CF33" s="24"/>
      <c r="CG33" s="24"/>
      <c r="CH33" s="24"/>
      <c r="CI33" s="24"/>
      <c r="CJ33" s="24"/>
      <c r="CK33" s="24"/>
      <c r="CL33" s="24"/>
      <c r="CM33" s="38"/>
      <c r="CN33" s="24"/>
      <c r="CO33" s="24"/>
      <c r="CP33" s="24"/>
      <c r="CQ33" s="24"/>
      <c r="CR33" s="24"/>
      <c r="CS33" s="24"/>
      <c r="CT33" s="24"/>
      <c r="CU33" s="24"/>
      <c r="CV33" s="38"/>
      <c r="CW33" s="24"/>
      <c r="CX33" s="24"/>
      <c r="CY33" s="24"/>
      <c r="CZ33" s="24"/>
      <c r="DA33" s="24"/>
      <c r="DB33" s="24"/>
      <c r="DC33" s="24"/>
      <c r="DD33" s="24"/>
      <c r="DE33" s="38"/>
      <c r="DF33" s="24"/>
      <c r="DG33" s="24"/>
      <c r="DH33" s="24"/>
      <c r="DI33" s="24"/>
      <c r="DJ33" s="24"/>
      <c r="DK33" s="24"/>
      <c r="DL33" s="24"/>
      <c r="DM33" s="24"/>
      <c r="DN33" s="38"/>
      <c r="DO33" s="24"/>
      <c r="DP33" s="24"/>
      <c r="DQ33" s="24"/>
      <c r="DR33" s="24"/>
      <c r="DS33" s="24"/>
      <c r="DT33" s="24"/>
      <c r="DU33" s="24"/>
      <c r="DV33" s="24"/>
      <c r="DW33" s="38"/>
      <c r="DX33" s="24"/>
      <c r="DY33" s="24"/>
      <c r="DZ33" s="24"/>
      <c r="EA33" s="24"/>
      <c r="EB33" s="24"/>
      <c r="EC33" s="24"/>
      <c r="ED33" s="24"/>
      <c r="EE33" s="24"/>
      <c r="EF33" s="38"/>
      <c r="EG33" s="24"/>
      <c r="EH33" s="24"/>
      <c r="EI33" s="24"/>
      <c r="EJ33" s="24"/>
      <c r="EK33" s="24"/>
      <c r="EL33" s="24"/>
      <c r="EM33" s="24"/>
      <c r="EN33" s="24"/>
      <c r="EO33" s="38"/>
      <c r="EP33" s="24"/>
      <c r="EQ33" s="24"/>
      <c r="ER33" s="24"/>
      <c r="ES33" s="24"/>
      <c r="ET33" s="24"/>
      <c r="EU33" s="24"/>
      <c r="EV33" s="24"/>
      <c r="EW33" s="24"/>
      <c r="EX33" s="38"/>
      <c r="EY33" s="24"/>
      <c r="EZ33" s="24"/>
      <c r="FA33" s="24"/>
      <c r="FB33" s="24"/>
      <c r="FC33" s="24"/>
      <c r="FD33" s="24"/>
      <c r="FE33" s="24"/>
      <c r="FF33" s="24"/>
      <c r="FG33" s="38"/>
      <c r="FH33" s="24"/>
      <c r="FI33" s="24"/>
      <c r="FJ33" s="24"/>
      <c r="FK33" s="24"/>
      <c r="FL33" s="24"/>
      <c r="FM33" s="24"/>
      <c r="FN33" s="24"/>
      <c r="FO33" s="24"/>
      <c r="FP33" s="38"/>
      <c r="FQ33" s="24"/>
      <c r="FR33" s="24"/>
      <c r="FS33" s="24"/>
      <c r="FT33" s="24"/>
      <c r="FU33" s="24"/>
      <c r="FV33" s="24"/>
      <c r="FW33" s="24"/>
      <c r="FX33" s="24"/>
      <c r="FY33" s="38"/>
      <c r="FZ33" s="24"/>
      <c r="GA33" s="24"/>
      <c r="GB33" s="24"/>
      <c r="GC33" s="24"/>
      <c r="GD33" s="24"/>
      <c r="GE33" s="24"/>
      <c r="GF33" s="24"/>
      <c r="GG33" s="24"/>
      <c r="GH33" s="38"/>
      <c r="GI33" s="24"/>
      <c r="GJ33" s="24"/>
      <c r="GK33" s="24"/>
      <c r="GL33" s="24"/>
      <c r="GM33" s="24"/>
      <c r="GN33" s="24"/>
      <c r="GO33" s="24"/>
      <c r="GP33" s="24"/>
      <c r="GQ33" s="38"/>
      <c r="GR33" s="24"/>
      <c r="GS33" s="24"/>
      <c r="GT33" s="24"/>
      <c r="GU33" s="24"/>
      <c r="GV33" s="24"/>
      <c r="GW33" s="24"/>
      <c r="GX33" s="24"/>
      <c r="GY33" s="24"/>
      <c r="GZ33" s="38"/>
      <c r="HA33" s="24"/>
      <c r="HB33" s="24"/>
      <c r="HC33" s="24"/>
      <c r="HD33" s="24"/>
      <c r="HE33" s="24"/>
      <c r="HF33" s="24"/>
      <c r="HG33" s="24"/>
      <c r="HH33" s="24"/>
      <c r="HI33" s="38"/>
      <c r="HJ33" s="24"/>
      <c r="HK33" s="24"/>
      <c r="HL33" s="24"/>
      <c r="HM33" s="24"/>
      <c r="HN33" s="24"/>
      <c r="HO33" s="24"/>
      <c r="HP33" s="24"/>
      <c r="HQ33" s="24"/>
      <c r="HR33" s="38"/>
      <c r="HS33" s="24">
        <v>1</v>
      </c>
      <c r="HT33" s="24">
        <v>4500000</v>
      </c>
      <c r="HU33" s="24">
        <v>9</v>
      </c>
      <c r="HV33" s="24">
        <v>34248125</v>
      </c>
      <c r="HW33" s="24">
        <v>20</v>
      </c>
      <c r="HX33" s="24">
        <v>83220708</v>
      </c>
      <c r="HY33" s="24">
        <v>100231800</v>
      </c>
      <c r="HZ33" s="24">
        <v>13632317</v>
      </c>
      <c r="IA33" s="38">
        <v>0.13600000000000001</v>
      </c>
      <c r="IB33" s="24"/>
      <c r="IC33" s="24"/>
      <c r="ID33" s="24"/>
      <c r="IE33" s="24"/>
      <c r="IF33" s="24"/>
      <c r="IG33" s="24"/>
      <c r="IH33" s="24"/>
      <c r="II33" s="24"/>
      <c r="IJ33" s="38"/>
      <c r="IK33" s="24"/>
      <c r="IL33" s="24"/>
      <c r="IM33" s="24"/>
      <c r="IN33" s="24"/>
      <c r="IO33" s="24"/>
      <c r="IP33" s="24"/>
      <c r="IQ33" s="24"/>
      <c r="IR33" s="24"/>
      <c r="IS33" s="38"/>
      <c r="IT33" s="24"/>
      <c r="IU33" s="24"/>
      <c r="IV33" s="24"/>
      <c r="IW33" s="24"/>
      <c r="IX33" s="24"/>
      <c r="IY33" s="24"/>
      <c r="IZ33" s="24"/>
      <c r="JA33" s="24"/>
      <c r="JB33" s="38"/>
      <c r="JC33" s="24"/>
      <c r="JD33" s="24"/>
      <c r="JE33" s="24"/>
      <c r="JF33" s="24"/>
      <c r="JG33" s="24"/>
      <c r="JH33" s="24"/>
      <c r="JI33" s="24"/>
      <c r="JJ33" s="24"/>
      <c r="JK33" s="38"/>
      <c r="JL33" s="24"/>
      <c r="JM33" s="24"/>
      <c r="JN33" s="24"/>
      <c r="JO33" s="24"/>
      <c r="JP33" s="24"/>
      <c r="JQ33" s="24"/>
      <c r="JR33" s="24"/>
      <c r="JS33" s="24"/>
      <c r="JT33" s="38"/>
      <c r="JU33" s="24"/>
      <c r="JV33" s="24"/>
      <c r="JW33" s="24"/>
      <c r="JX33" s="24"/>
      <c r="JY33" s="24"/>
      <c r="JZ33" s="24"/>
      <c r="KA33" s="24"/>
      <c r="KB33" s="24"/>
      <c r="KC33" s="38"/>
      <c r="KD33" s="24"/>
      <c r="KE33" s="24"/>
      <c r="KF33" s="24"/>
      <c r="KG33" s="24"/>
      <c r="KH33" s="24"/>
      <c r="KI33" s="24"/>
      <c r="KJ33" s="24"/>
      <c r="KK33" s="24"/>
      <c r="KL33" s="38"/>
      <c r="KM33" s="24"/>
      <c r="KN33" s="24"/>
      <c r="KO33" s="24"/>
      <c r="KP33" s="24"/>
      <c r="KQ33" s="24"/>
      <c r="KR33" s="24"/>
      <c r="KS33" s="24"/>
      <c r="KT33" s="24"/>
      <c r="KU33" s="38"/>
      <c r="KV33" s="24"/>
      <c r="KW33" s="24"/>
      <c r="KX33" s="24"/>
      <c r="KY33" s="24"/>
      <c r="KZ33" s="24"/>
      <c r="LA33" s="24"/>
      <c r="LB33" s="24"/>
      <c r="LC33" s="24"/>
      <c r="LD33" s="38"/>
      <c r="LE33" s="24"/>
      <c r="LF33" s="24"/>
      <c r="LG33" s="24"/>
      <c r="LH33" s="24"/>
      <c r="LI33" s="24"/>
      <c r="LJ33" s="24"/>
      <c r="LK33" s="24"/>
      <c r="LL33" s="24"/>
      <c r="LM33" s="38"/>
      <c r="LN33" s="24"/>
      <c r="LO33" s="24"/>
      <c r="LP33" s="24"/>
      <c r="LQ33" s="24"/>
      <c r="LR33" s="24"/>
      <c r="LS33" s="24"/>
      <c r="LT33" s="24"/>
      <c r="LU33" s="24"/>
      <c r="LV33" s="38"/>
      <c r="LW33" s="24"/>
      <c r="LX33" s="24"/>
      <c r="LY33" s="24"/>
      <c r="LZ33" s="24"/>
      <c r="MA33" s="24"/>
      <c r="MB33" s="24"/>
      <c r="MC33" s="24"/>
      <c r="MD33" s="24"/>
      <c r="ME33" s="38"/>
      <c r="MF33" s="24"/>
      <c r="MG33" s="24"/>
      <c r="MH33" s="24"/>
      <c r="MI33" s="24"/>
      <c r="MJ33" s="24"/>
      <c r="MK33" s="24"/>
      <c r="ML33" s="24"/>
      <c r="MM33" s="24"/>
      <c r="MN33" s="38"/>
      <c r="MO33" s="24"/>
      <c r="MP33" s="24"/>
      <c r="MQ33" s="24"/>
      <c r="MR33" s="24"/>
      <c r="MS33" s="24"/>
      <c r="MT33" s="24"/>
      <c r="MU33" s="24"/>
      <c r="MV33" s="24"/>
      <c r="MW33" s="38"/>
      <c r="MX33" s="24"/>
      <c r="MY33" s="24"/>
      <c r="MZ33" s="24"/>
      <c r="NA33" s="24"/>
      <c r="NB33" s="24"/>
      <c r="NC33" s="24"/>
      <c r="ND33" s="24"/>
      <c r="NE33" s="24"/>
      <c r="NF33" s="38"/>
      <c r="NG33" s="24"/>
      <c r="NH33" s="24"/>
      <c r="NI33" s="24"/>
      <c r="NJ33" s="24"/>
      <c r="NK33" s="24"/>
      <c r="NL33" s="24"/>
      <c r="NM33" s="24"/>
      <c r="NN33" s="24"/>
      <c r="NO33" s="38"/>
      <c r="NP33" s="24"/>
      <c r="NQ33" s="24"/>
      <c r="NR33" s="24"/>
      <c r="NS33" s="24"/>
      <c r="NT33" s="24"/>
      <c r="NU33" s="24"/>
      <c r="NV33" s="24"/>
      <c r="NW33" s="24"/>
      <c r="NX33" s="38"/>
      <c r="NY33" s="24"/>
      <c r="NZ33" s="24"/>
      <c r="OA33" s="24"/>
      <c r="OB33" s="24"/>
      <c r="OC33" s="24"/>
      <c r="OD33" s="24"/>
      <c r="OE33" s="24"/>
      <c r="OF33" s="24"/>
      <c r="OG33" s="38"/>
      <c r="OH33" s="24"/>
      <c r="OI33" s="24"/>
      <c r="OJ33" s="24"/>
      <c r="OK33" s="24"/>
      <c r="OL33" s="24"/>
      <c r="OM33" s="24"/>
      <c r="ON33" s="24"/>
      <c r="OO33" s="24"/>
      <c r="OP33" s="38"/>
      <c r="OQ33" s="24"/>
      <c r="OR33" s="24"/>
      <c r="OS33" s="24"/>
      <c r="OT33" s="24"/>
      <c r="OU33" s="24"/>
      <c r="OV33" s="24"/>
      <c r="OW33" s="24"/>
      <c r="OX33" s="24"/>
      <c r="OY33" s="38"/>
    </row>
    <row r="34" spans="1:424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  <c r="K34" s="24"/>
      <c r="L34" s="24"/>
      <c r="M34" s="24"/>
      <c r="N34" s="24"/>
      <c r="O34" s="24"/>
      <c r="P34" s="24"/>
      <c r="Q34" s="24"/>
      <c r="R34" s="24"/>
      <c r="S34" s="38"/>
      <c r="T34" s="24"/>
      <c r="U34" s="24"/>
      <c r="V34" s="24"/>
      <c r="W34" s="24"/>
      <c r="X34" s="24"/>
      <c r="Y34" s="24"/>
      <c r="Z34" s="24"/>
      <c r="AA34" s="24"/>
      <c r="AB34" s="38"/>
      <c r="AC34" s="24"/>
      <c r="AD34" s="24"/>
      <c r="AE34" s="24"/>
      <c r="AF34" s="24"/>
      <c r="AG34" s="24"/>
      <c r="AH34" s="24"/>
      <c r="AI34" s="24"/>
      <c r="AJ34" s="24"/>
      <c r="AK34" s="38"/>
      <c r="AL34" s="24"/>
      <c r="AM34" s="24"/>
      <c r="AN34" s="24"/>
      <c r="AO34" s="24"/>
      <c r="AP34" s="24"/>
      <c r="AQ34" s="24"/>
      <c r="AR34" s="24"/>
      <c r="AS34" s="24"/>
      <c r="AT34" s="38"/>
      <c r="AU34" s="24"/>
      <c r="AV34" s="24"/>
      <c r="AW34" s="24"/>
      <c r="AX34" s="24"/>
      <c r="AY34" s="24"/>
      <c r="AZ34" s="24"/>
      <c r="BA34" s="24"/>
      <c r="BB34" s="24"/>
      <c r="BC34" s="38"/>
      <c r="BD34" s="24"/>
      <c r="BE34" s="24"/>
      <c r="BF34" s="24"/>
      <c r="BG34" s="24"/>
      <c r="BH34" s="24"/>
      <c r="BI34" s="24"/>
      <c r="BJ34" s="24"/>
      <c r="BK34" s="24"/>
      <c r="BL34" s="38"/>
      <c r="BM34" s="24"/>
      <c r="BN34" s="24"/>
      <c r="BO34" s="24"/>
      <c r="BP34" s="24"/>
      <c r="BQ34" s="24"/>
      <c r="BR34" s="24"/>
      <c r="BS34" s="24"/>
      <c r="BT34" s="24"/>
      <c r="BU34" s="38"/>
      <c r="BV34" s="24"/>
      <c r="BW34" s="24"/>
      <c r="BX34" s="24"/>
      <c r="BY34" s="24"/>
      <c r="BZ34" s="24"/>
      <c r="CA34" s="24"/>
      <c r="CB34" s="24"/>
      <c r="CC34" s="24"/>
      <c r="CD34" s="38"/>
      <c r="CE34" s="24"/>
      <c r="CF34" s="24"/>
      <c r="CG34" s="24"/>
      <c r="CH34" s="24"/>
      <c r="CI34" s="24"/>
      <c r="CJ34" s="24"/>
      <c r="CK34" s="24"/>
      <c r="CL34" s="24"/>
      <c r="CM34" s="38"/>
      <c r="CN34" s="24"/>
      <c r="CO34" s="24"/>
      <c r="CP34" s="24"/>
      <c r="CQ34" s="24"/>
      <c r="CR34" s="24"/>
      <c r="CS34" s="24"/>
      <c r="CT34" s="24"/>
      <c r="CU34" s="24"/>
      <c r="CV34" s="38"/>
      <c r="CW34" s="24"/>
      <c r="CX34" s="24"/>
      <c r="CY34" s="24"/>
      <c r="CZ34" s="24"/>
      <c r="DA34" s="24"/>
      <c r="DB34" s="24"/>
      <c r="DC34" s="24"/>
      <c r="DD34" s="24"/>
      <c r="DE34" s="38"/>
      <c r="DF34" s="24"/>
      <c r="DG34" s="24"/>
      <c r="DH34" s="24"/>
      <c r="DI34" s="24"/>
      <c r="DJ34" s="24"/>
      <c r="DK34" s="24"/>
      <c r="DL34" s="24"/>
      <c r="DM34" s="24"/>
      <c r="DN34" s="38"/>
      <c r="DO34" s="24"/>
      <c r="DP34" s="24"/>
      <c r="DQ34" s="24"/>
      <c r="DR34" s="24"/>
      <c r="DS34" s="24"/>
      <c r="DT34" s="24"/>
      <c r="DU34" s="24"/>
      <c r="DV34" s="24"/>
      <c r="DW34" s="38"/>
      <c r="DX34" s="24"/>
      <c r="DY34" s="24"/>
      <c r="DZ34" s="24"/>
      <c r="EA34" s="24"/>
      <c r="EB34" s="24"/>
      <c r="EC34" s="24"/>
      <c r="ED34" s="24"/>
      <c r="EE34" s="24"/>
      <c r="EF34" s="38"/>
      <c r="EG34" s="24"/>
      <c r="EH34" s="24"/>
      <c r="EI34" s="24"/>
      <c r="EJ34" s="24"/>
      <c r="EK34" s="24"/>
      <c r="EL34" s="24"/>
      <c r="EM34" s="24"/>
      <c r="EN34" s="24"/>
      <c r="EO34" s="38"/>
      <c r="EP34" s="24"/>
      <c r="EQ34" s="24"/>
      <c r="ER34" s="24"/>
      <c r="ES34" s="24"/>
      <c r="ET34" s="24"/>
      <c r="EU34" s="24"/>
      <c r="EV34" s="24"/>
      <c r="EW34" s="24"/>
      <c r="EX34" s="38"/>
      <c r="EY34" s="24"/>
      <c r="EZ34" s="24"/>
      <c r="FA34" s="24"/>
      <c r="FB34" s="24"/>
      <c r="FC34" s="24"/>
      <c r="FD34" s="24"/>
      <c r="FE34" s="24"/>
      <c r="FF34" s="24"/>
      <c r="FG34" s="38"/>
      <c r="FH34" s="24"/>
      <c r="FI34" s="24"/>
      <c r="FJ34" s="24"/>
      <c r="FK34" s="24"/>
      <c r="FL34" s="24"/>
      <c r="FM34" s="24"/>
      <c r="FN34" s="24"/>
      <c r="FO34" s="24"/>
      <c r="FP34" s="38"/>
      <c r="FQ34" s="24"/>
      <c r="FR34" s="24"/>
      <c r="FS34" s="24"/>
      <c r="FT34" s="24"/>
      <c r="FU34" s="24"/>
      <c r="FV34" s="24"/>
      <c r="FW34" s="24"/>
      <c r="FX34" s="24"/>
      <c r="FY34" s="38"/>
      <c r="FZ34" s="24"/>
      <c r="GA34" s="24"/>
      <c r="GB34" s="24"/>
      <c r="GC34" s="24"/>
      <c r="GD34" s="24"/>
      <c r="GE34" s="24"/>
      <c r="GF34" s="24"/>
      <c r="GG34" s="24"/>
      <c r="GH34" s="38"/>
      <c r="GI34" s="24"/>
      <c r="GJ34" s="24"/>
      <c r="GK34" s="24"/>
      <c r="GL34" s="24"/>
      <c r="GM34" s="24"/>
      <c r="GN34" s="24"/>
      <c r="GO34" s="24"/>
      <c r="GP34" s="24"/>
      <c r="GQ34" s="38"/>
      <c r="GR34" s="24"/>
      <c r="GS34" s="24"/>
      <c r="GT34" s="24"/>
      <c r="GU34" s="24"/>
      <c r="GV34" s="24"/>
      <c r="GW34" s="24"/>
      <c r="GX34" s="24"/>
      <c r="GY34" s="24"/>
      <c r="GZ34" s="38"/>
      <c r="HA34" s="24"/>
      <c r="HB34" s="24"/>
      <c r="HC34" s="24"/>
      <c r="HD34" s="24"/>
      <c r="HE34" s="24"/>
      <c r="HF34" s="24"/>
      <c r="HG34" s="24"/>
      <c r="HH34" s="24"/>
      <c r="HI34" s="38"/>
      <c r="HJ34" s="24"/>
      <c r="HK34" s="24"/>
      <c r="HL34" s="24"/>
      <c r="HM34" s="24"/>
      <c r="HN34" s="24"/>
      <c r="HO34" s="24"/>
      <c r="HP34" s="24"/>
      <c r="HQ34" s="24"/>
      <c r="HR34" s="38"/>
      <c r="HS34" s="24">
        <v>28</v>
      </c>
      <c r="HT34" s="24">
        <v>274755876</v>
      </c>
      <c r="HU34" s="24">
        <v>35</v>
      </c>
      <c r="HV34" s="24">
        <v>366091223</v>
      </c>
      <c r="HW34" s="24">
        <v>62</v>
      </c>
      <c r="HX34" s="24">
        <v>390765221</v>
      </c>
      <c r="HY34" s="24">
        <v>456902572</v>
      </c>
      <c r="HZ34" s="24">
        <v>62842554</v>
      </c>
      <c r="IA34" s="38">
        <v>0.13750000000000001</v>
      </c>
      <c r="IB34" s="24">
        <v>44</v>
      </c>
      <c r="IC34" s="24">
        <v>463540100</v>
      </c>
      <c r="ID34" s="24">
        <v>36</v>
      </c>
      <c r="IE34" s="24">
        <v>408596572</v>
      </c>
      <c r="IF34" s="24">
        <v>70</v>
      </c>
      <c r="IG34" s="24">
        <v>445708749</v>
      </c>
      <c r="IH34" s="24">
        <v>452673360</v>
      </c>
      <c r="II34" s="24">
        <v>61087958</v>
      </c>
      <c r="IJ34" s="38">
        <v>0.13489999999999999</v>
      </c>
      <c r="IK34" s="24">
        <v>37</v>
      </c>
      <c r="IL34" s="24">
        <v>343550000</v>
      </c>
      <c r="IM34" s="24">
        <v>22</v>
      </c>
      <c r="IN34" s="24">
        <v>330332825</v>
      </c>
      <c r="IO34" s="24">
        <v>85</v>
      </c>
      <c r="IP34" s="24">
        <v>458925924</v>
      </c>
      <c r="IQ34" s="24">
        <v>440111460</v>
      </c>
      <c r="IR34" s="24">
        <v>59283171</v>
      </c>
      <c r="IS34" s="38">
        <v>0.13469999999999999</v>
      </c>
      <c r="IT34" s="24">
        <v>48</v>
      </c>
      <c r="IU34" s="24">
        <v>382600000</v>
      </c>
      <c r="IV34" s="24">
        <v>53</v>
      </c>
      <c r="IW34" s="24">
        <v>441141882</v>
      </c>
      <c r="IX34" s="24">
        <v>80</v>
      </c>
      <c r="IY34" s="24">
        <v>400384042</v>
      </c>
      <c r="IZ34" s="24">
        <v>431707752</v>
      </c>
      <c r="JA34" s="24">
        <v>58595695</v>
      </c>
      <c r="JB34" s="38">
        <v>0.13569999999999999</v>
      </c>
      <c r="JC34" s="24">
        <v>47</v>
      </c>
      <c r="JD34" s="24">
        <v>358740000</v>
      </c>
      <c r="JE34" s="24">
        <v>50</v>
      </c>
      <c r="JF34" s="24">
        <v>335081081</v>
      </c>
      <c r="JG34" s="24">
        <v>77</v>
      </c>
      <c r="JH34" s="24">
        <v>424042961</v>
      </c>
      <c r="JI34" s="24">
        <v>408291505</v>
      </c>
      <c r="JJ34" s="24">
        <v>53078744</v>
      </c>
      <c r="JK34" s="38">
        <v>0.13</v>
      </c>
      <c r="JL34" s="24">
        <v>47</v>
      </c>
      <c r="JM34" s="24">
        <v>313250000</v>
      </c>
      <c r="JN34" s="24">
        <v>51</v>
      </c>
      <c r="JO34" s="24">
        <v>327129291</v>
      </c>
      <c r="JP34" s="24">
        <v>73</v>
      </c>
      <c r="JQ34" s="24">
        <v>410163670</v>
      </c>
      <c r="JR34" s="24">
        <v>407446200</v>
      </c>
      <c r="JS34" s="24">
        <v>35158236</v>
      </c>
      <c r="JT34" s="38">
        <v>8.6300000000000002E-2</v>
      </c>
      <c r="JU34" s="24">
        <v>41</v>
      </c>
      <c r="JV34" s="24">
        <v>207750000</v>
      </c>
      <c r="JW34" s="24">
        <v>48</v>
      </c>
      <c r="JX34" s="24">
        <v>271177502</v>
      </c>
      <c r="JY34" s="24">
        <v>66</v>
      </c>
      <c r="JZ34" s="24">
        <v>346736168</v>
      </c>
      <c r="KA34" s="24">
        <v>368483913</v>
      </c>
      <c r="KB34" s="24">
        <v>41556600</v>
      </c>
      <c r="KC34" s="38">
        <v>0.1128</v>
      </c>
      <c r="KD34" s="24">
        <v>29</v>
      </c>
      <c r="KE34" s="24">
        <v>147270000</v>
      </c>
      <c r="KF34" s="24">
        <v>52</v>
      </c>
      <c r="KG34" s="24">
        <v>294635494</v>
      </c>
      <c r="KH34" s="24">
        <v>43</v>
      </c>
      <c r="KI34" s="24">
        <v>199370674</v>
      </c>
      <c r="KJ34" s="24">
        <v>289294283</v>
      </c>
      <c r="KK34" s="24">
        <v>28986671</v>
      </c>
      <c r="KL34" s="38">
        <v>0.1002</v>
      </c>
      <c r="KM34" s="24">
        <v>1</v>
      </c>
      <c r="KN34" s="24">
        <v>3000000</v>
      </c>
      <c r="KO34" s="24">
        <v>15</v>
      </c>
      <c r="KP34" s="24">
        <v>106657478</v>
      </c>
      <c r="KQ34" s="24">
        <v>29</v>
      </c>
      <c r="KR34" s="24">
        <v>95713196</v>
      </c>
      <c r="KS34" s="24">
        <v>141146216</v>
      </c>
      <c r="KT34" s="24">
        <v>26642319</v>
      </c>
      <c r="KU34" s="38">
        <v>0.1888</v>
      </c>
      <c r="KV34" s="24">
        <v>1</v>
      </c>
      <c r="KW34" s="24">
        <v>3000000</v>
      </c>
      <c r="KX34" s="24">
        <v>10</v>
      </c>
      <c r="KY34" s="24">
        <v>34611102</v>
      </c>
      <c r="KZ34" s="24">
        <v>20</v>
      </c>
      <c r="LA34" s="24">
        <v>64102094</v>
      </c>
      <c r="LB34" s="24">
        <v>81678400</v>
      </c>
      <c r="LC34" s="24">
        <v>6470396</v>
      </c>
      <c r="LD34" s="38">
        <v>7.9200000000000007E-2</v>
      </c>
      <c r="LE34" s="24">
        <v>0</v>
      </c>
      <c r="LF34" s="24">
        <v>0</v>
      </c>
      <c r="LG34" s="24">
        <v>5</v>
      </c>
      <c r="LH34" s="24">
        <v>5316958</v>
      </c>
      <c r="LI34" s="24">
        <v>15</v>
      </c>
      <c r="LJ34" s="24">
        <v>58785136</v>
      </c>
      <c r="LK34" s="24">
        <v>61127248</v>
      </c>
      <c r="LL34" s="24">
        <v>2057967</v>
      </c>
      <c r="LM34" s="38">
        <v>3.3700000000000001E-2</v>
      </c>
      <c r="LN34" s="24"/>
      <c r="LO34" s="24"/>
      <c r="LP34" s="24">
        <v>8</v>
      </c>
      <c r="LQ34" s="24">
        <v>38315369</v>
      </c>
      <c r="LR34" s="24">
        <v>7</v>
      </c>
      <c r="LS34" s="24">
        <v>20469767</v>
      </c>
      <c r="LT34" s="24">
        <v>42808593</v>
      </c>
      <c r="LU34" s="24">
        <v>8977859</v>
      </c>
      <c r="LV34" s="38">
        <v>0.2097</v>
      </c>
      <c r="LW34" s="24"/>
      <c r="LX34" s="24"/>
      <c r="LY34" s="24">
        <v>2</v>
      </c>
      <c r="LZ34" s="24">
        <v>4567755</v>
      </c>
      <c r="MA34" s="24">
        <v>5</v>
      </c>
      <c r="MB34" s="24">
        <v>15902012</v>
      </c>
      <c r="MC34" s="24">
        <v>17242046</v>
      </c>
      <c r="MD34" s="24">
        <v>873944</v>
      </c>
      <c r="ME34" s="38">
        <v>5.0700000000000002E-2</v>
      </c>
      <c r="MF34" s="24"/>
      <c r="MG34" s="24"/>
      <c r="MH34" s="24">
        <v>2</v>
      </c>
      <c r="MI34" s="24">
        <v>4950940</v>
      </c>
      <c r="MJ34" s="24">
        <v>3</v>
      </c>
      <c r="MK34" s="24">
        <v>10951072</v>
      </c>
      <c r="ML34" s="24">
        <v>14383239</v>
      </c>
      <c r="MM34" s="24">
        <v>2311391</v>
      </c>
      <c r="MN34" s="38">
        <v>0.16070000000000001</v>
      </c>
      <c r="MO34" s="24"/>
      <c r="MP34" s="24"/>
      <c r="MQ34" s="24">
        <v>2</v>
      </c>
      <c r="MR34" s="24">
        <v>8609634</v>
      </c>
      <c r="MS34" s="24">
        <v>1</v>
      </c>
      <c r="MT34" s="24">
        <v>2341438</v>
      </c>
      <c r="MU34" s="24">
        <v>5969190</v>
      </c>
      <c r="MV34" s="24">
        <v>618678</v>
      </c>
      <c r="MW34" s="38">
        <v>0.1036</v>
      </c>
      <c r="MX34" s="24"/>
      <c r="MY34" s="24"/>
      <c r="MZ34" s="24">
        <v>1</v>
      </c>
      <c r="NA34" s="24">
        <v>2341438</v>
      </c>
      <c r="NB34" s="24"/>
      <c r="NC34" s="24"/>
      <c r="ND34" s="24">
        <v>541990</v>
      </c>
      <c r="NE34" s="24">
        <v>111806</v>
      </c>
      <c r="NF34" s="38">
        <v>0.20630000000000001</v>
      </c>
      <c r="NG34" s="24"/>
      <c r="NH34" s="24"/>
      <c r="NI34" s="24"/>
      <c r="NJ34" s="24">
        <v>789932</v>
      </c>
      <c r="NK34" s="24">
        <v>2</v>
      </c>
      <c r="NL34" s="24">
        <v>1117981</v>
      </c>
      <c r="NM34" s="24">
        <v>1458057</v>
      </c>
      <c r="NN34" s="24">
        <v>159496</v>
      </c>
      <c r="NO34" s="38">
        <v>0.1094</v>
      </c>
      <c r="NP34" s="24"/>
      <c r="NQ34" s="24"/>
      <c r="NR34" s="24"/>
      <c r="NS34" s="24"/>
      <c r="NT34" s="24"/>
      <c r="NU34" s="24"/>
      <c r="NV34" s="24"/>
      <c r="NW34" s="24"/>
      <c r="NX34" s="38"/>
      <c r="NY34" s="24"/>
      <c r="NZ34" s="24"/>
      <c r="OA34" s="24"/>
      <c r="OB34" s="24"/>
      <c r="OC34" s="24"/>
      <c r="OD34" s="24"/>
      <c r="OE34" s="24"/>
      <c r="OF34" s="24"/>
      <c r="OG34" s="38"/>
      <c r="OH34" s="24"/>
      <c r="OI34" s="24"/>
      <c r="OJ34" s="24"/>
      <c r="OK34" s="24"/>
      <c r="OL34" s="24"/>
      <c r="OM34" s="24"/>
      <c r="ON34" s="24"/>
      <c r="OO34" s="24"/>
      <c r="OP34" s="38"/>
      <c r="OQ34" s="24"/>
      <c r="OR34" s="24"/>
      <c r="OS34" s="24"/>
      <c r="OT34" s="24"/>
      <c r="OU34" s="24"/>
      <c r="OV34" s="24"/>
      <c r="OW34" s="24"/>
      <c r="OX34" s="24"/>
      <c r="OY34" s="38"/>
    </row>
    <row r="35" spans="1:424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  <c r="K35" s="24"/>
      <c r="L35" s="24"/>
      <c r="M35" s="24"/>
      <c r="N35" s="24"/>
      <c r="O35" s="24"/>
      <c r="P35" s="24"/>
      <c r="Q35" s="24"/>
      <c r="R35" s="24"/>
      <c r="S35" s="38"/>
      <c r="T35" s="24"/>
      <c r="U35" s="24"/>
      <c r="V35" s="24"/>
      <c r="W35" s="24"/>
      <c r="X35" s="24"/>
      <c r="Y35" s="24"/>
      <c r="Z35" s="24"/>
      <c r="AA35" s="24"/>
      <c r="AB35" s="38"/>
      <c r="AC35" s="24"/>
      <c r="AD35" s="24"/>
      <c r="AE35" s="24"/>
      <c r="AF35" s="24"/>
      <c r="AG35" s="24"/>
      <c r="AH35" s="24"/>
      <c r="AI35" s="24"/>
      <c r="AJ35" s="24"/>
      <c r="AK35" s="38"/>
      <c r="AL35" s="24"/>
      <c r="AM35" s="24"/>
      <c r="AN35" s="24"/>
      <c r="AO35" s="24"/>
      <c r="AP35" s="24"/>
      <c r="AQ35" s="24"/>
      <c r="AR35" s="24"/>
      <c r="AS35" s="24"/>
      <c r="AT35" s="38"/>
      <c r="AU35" s="24"/>
      <c r="AV35" s="24"/>
      <c r="AW35" s="24"/>
      <c r="AX35" s="24"/>
      <c r="AY35" s="24"/>
      <c r="AZ35" s="24"/>
      <c r="BA35" s="24"/>
      <c r="BB35" s="24"/>
      <c r="BC35" s="38"/>
      <c r="BD35" s="24"/>
      <c r="BE35" s="24"/>
      <c r="BF35" s="24"/>
      <c r="BG35" s="24"/>
      <c r="BH35" s="24"/>
      <c r="BI35" s="24"/>
      <c r="BJ35" s="24"/>
      <c r="BK35" s="24"/>
      <c r="BL35" s="38"/>
      <c r="BM35" s="24"/>
      <c r="BN35" s="24"/>
      <c r="BO35" s="24"/>
      <c r="BP35" s="24"/>
      <c r="BQ35" s="24"/>
      <c r="BR35" s="24"/>
      <c r="BS35" s="24"/>
      <c r="BT35" s="24"/>
      <c r="BU35" s="38"/>
      <c r="BV35" s="24"/>
      <c r="BW35" s="24"/>
      <c r="BX35" s="24"/>
      <c r="BY35" s="24"/>
      <c r="BZ35" s="24"/>
      <c r="CA35" s="24"/>
      <c r="CB35" s="24"/>
      <c r="CC35" s="24"/>
      <c r="CD35" s="38"/>
      <c r="CE35" s="24"/>
      <c r="CF35" s="24"/>
      <c r="CG35" s="24"/>
      <c r="CH35" s="24"/>
      <c r="CI35" s="24"/>
      <c r="CJ35" s="24"/>
      <c r="CK35" s="24"/>
      <c r="CL35" s="24"/>
      <c r="CM35" s="38"/>
      <c r="CN35" s="24"/>
      <c r="CO35" s="24"/>
      <c r="CP35" s="24"/>
      <c r="CQ35" s="24"/>
      <c r="CR35" s="24"/>
      <c r="CS35" s="24"/>
      <c r="CT35" s="24"/>
      <c r="CU35" s="24"/>
      <c r="CV35" s="38"/>
      <c r="CW35" s="24"/>
      <c r="CX35" s="24"/>
      <c r="CY35" s="24"/>
      <c r="CZ35" s="24"/>
      <c r="DA35" s="24"/>
      <c r="DB35" s="24"/>
      <c r="DC35" s="24"/>
      <c r="DD35" s="24"/>
      <c r="DE35" s="38"/>
      <c r="DF35" s="24"/>
      <c r="DG35" s="24"/>
      <c r="DH35" s="24"/>
      <c r="DI35" s="24"/>
      <c r="DJ35" s="24"/>
      <c r="DK35" s="24"/>
      <c r="DL35" s="24"/>
      <c r="DM35" s="24"/>
      <c r="DN35" s="38"/>
      <c r="DO35" s="24"/>
      <c r="DP35" s="24"/>
      <c r="DQ35" s="24"/>
      <c r="DR35" s="24"/>
      <c r="DS35" s="24"/>
      <c r="DT35" s="24"/>
      <c r="DU35" s="24"/>
      <c r="DV35" s="24"/>
      <c r="DW35" s="38"/>
      <c r="DX35" s="24"/>
      <c r="DY35" s="24"/>
      <c r="DZ35" s="24"/>
      <c r="EA35" s="24"/>
      <c r="EB35" s="24"/>
      <c r="EC35" s="24"/>
      <c r="ED35" s="24"/>
      <c r="EE35" s="24"/>
      <c r="EF35" s="38"/>
      <c r="EG35" s="24"/>
      <c r="EH35" s="24"/>
      <c r="EI35" s="24"/>
      <c r="EJ35" s="24"/>
      <c r="EK35" s="24"/>
      <c r="EL35" s="24"/>
      <c r="EM35" s="24"/>
      <c r="EN35" s="24"/>
      <c r="EO35" s="38"/>
      <c r="EP35" s="24"/>
      <c r="EQ35" s="24"/>
      <c r="ER35" s="24"/>
      <c r="ES35" s="24"/>
      <c r="ET35" s="24"/>
      <c r="EU35" s="24"/>
      <c r="EV35" s="24"/>
      <c r="EW35" s="24"/>
      <c r="EX35" s="38"/>
      <c r="EY35" s="24"/>
      <c r="EZ35" s="24"/>
      <c r="FA35" s="24"/>
      <c r="FB35" s="24"/>
      <c r="FC35" s="24"/>
      <c r="FD35" s="24"/>
      <c r="FE35" s="24"/>
      <c r="FF35" s="24"/>
      <c r="FG35" s="38"/>
      <c r="FH35" s="24"/>
      <c r="FI35" s="24"/>
      <c r="FJ35" s="24"/>
      <c r="FK35" s="24"/>
      <c r="FL35" s="24"/>
      <c r="FM35" s="24"/>
      <c r="FN35" s="24"/>
      <c r="FO35" s="24"/>
      <c r="FP35" s="38"/>
      <c r="FQ35" s="24"/>
      <c r="FR35" s="24"/>
      <c r="FS35" s="24"/>
      <c r="FT35" s="24"/>
      <c r="FU35" s="24"/>
      <c r="FV35" s="24"/>
      <c r="FW35" s="24"/>
      <c r="FX35" s="24"/>
      <c r="FY35" s="38"/>
      <c r="FZ35" s="24"/>
      <c r="GA35" s="24"/>
      <c r="GB35" s="24"/>
      <c r="GC35" s="24"/>
      <c r="GD35" s="24"/>
      <c r="GE35" s="24"/>
      <c r="GF35" s="24"/>
      <c r="GG35" s="24"/>
      <c r="GH35" s="38"/>
      <c r="GI35" s="24"/>
      <c r="GJ35" s="24"/>
      <c r="GK35" s="24"/>
      <c r="GL35" s="24"/>
      <c r="GM35" s="24"/>
      <c r="GN35" s="24"/>
      <c r="GO35" s="24"/>
      <c r="GP35" s="24"/>
      <c r="GQ35" s="38"/>
      <c r="GR35" s="24"/>
      <c r="GS35" s="24"/>
      <c r="GT35" s="24"/>
      <c r="GU35" s="24"/>
      <c r="GV35" s="24"/>
      <c r="GW35" s="24"/>
      <c r="GX35" s="24"/>
      <c r="GY35" s="24"/>
      <c r="GZ35" s="38"/>
      <c r="HA35" s="24"/>
      <c r="HB35" s="24"/>
      <c r="HC35" s="24"/>
      <c r="HD35" s="24"/>
      <c r="HE35" s="24"/>
      <c r="HF35" s="24"/>
      <c r="HG35" s="24"/>
      <c r="HH35" s="24"/>
      <c r="HI35" s="38"/>
      <c r="HJ35" s="24"/>
      <c r="HK35" s="24"/>
      <c r="HL35" s="24"/>
      <c r="HM35" s="24"/>
      <c r="HN35" s="24"/>
      <c r="HO35" s="24"/>
      <c r="HP35" s="24"/>
      <c r="HQ35" s="24"/>
      <c r="HR35" s="38"/>
      <c r="HS35" s="24">
        <v>4</v>
      </c>
      <c r="HT35" s="24">
        <v>27550000</v>
      </c>
      <c r="HU35" s="24">
        <v>1</v>
      </c>
      <c r="HV35" s="24">
        <v>1716585</v>
      </c>
      <c r="HW35" s="24">
        <v>19</v>
      </c>
      <c r="HX35" s="24">
        <v>129279598</v>
      </c>
      <c r="HY35" s="24">
        <v>120552791</v>
      </c>
      <c r="HZ35" s="24">
        <v>16076731</v>
      </c>
      <c r="IA35" s="38">
        <v>0.13339999999999999</v>
      </c>
      <c r="IB35" s="24">
        <v>12</v>
      </c>
      <c r="IC35" s="24">
        <v>110800000</v>
      </c>
      <c r="ID35" s="24">
        <v>4</v>
      </c>
      <c r="IE35" s="24">
        <v>56398386</v>
      </c>
      <c r="IF35" s="24">
        <v>27</v>
      </c>
      <c r="IG35" s="24">
        <v>183681212</v>
      </c>
      <c r="IH35" s="24">
        <v>164267587</v>
      </c>
      <c r="II35" s="24">
        <v>21119812</v>
      </c>
      <c r="IJ35" s="38">
        <v>0.12859999999999999</v>
      </c>
      <c r="IK35" s="24">
        <v>8</v>
      </c>
      <c r="IL35" s="24">
        <v>61900000</v>
      </c>
      <c r="IM35" s="24">
        <v>2</v>
      </c>
      <c r="IN35" s="24">
        <v>45774996</v>
      </c>
      <c r="IO35" s="24">
        <v>33</v>
      </c>
      <c r="IP35" s="24">
        <v>199806216</v>
      </c>
      <c r="IQ35" s="24">
        <v>180515493</v>
      </c>
      <c r="IR35" s="24">
        <v>23291362</v>
      </c>
      <c r="IS35" s="38">
        <v>0.129</v>
      </c>
      <c r="IT35" s="24">
        <v>2</v>
      </c>
      <c r="IU35" s="24">
        <v>11900000</v>
      </c>
      <c r="IV35" s="24">
        <v>6</v>
      </c>
      <c r="IW35" s="24">
        <v>38788969</v>
      </c>
      <c r="IX35" s="24">
        <v>29</v>
      </c>
      <c r="IY35" s="24">
        <v>172917247</v>
      </c>
      <c r="IZ35" s="24">
        <v>185156036</v>
      </c>
      <c r="JA35" s="24">
        <v>24183578</v>
      </c>
      <c r="JB35" s="38">
        <v>0.13059999999999999</v>
      </c>
      <c r="JC35" s="24">
        <v>0</v>
      </c>
      <c r="JD35" s="24">
        <v>0</v>
      </c>
      <c r="JE35" s="24">
        <v>3</v>
      </c>
      <c r="JF35" s="24">
        <v>39789510</v>
      </c>
      <c r="JG35" s="24">
        <v>26</v>
      </c>
      <c r="JH35" s="24">
        <v>133127737</v>
      </c>
      <c r="JI35" s="24">
        <v>158754191</v>
      </c>
      <c r="JJ35" s="24">
        <v>21028704</v>
      </c>
      <c r="JK35" s="38">
        <v>0.13250000000000001</v>
      </c>
      <c r="JL35" s="24">
        <v>0</v>
      </c>
      <c r="JM35" s="24">
        <v>0</v>
      </c>
      <c r="JN35" s="24">
        <v>4</v>
      </c>
      <c r="JO35" s="24">
        <v>43342859</v>
      </c>
      <c r="JP35" s="24">
        <v>22</v>
      </c>
      <c r="JQ35" s="24">
        <v>89784878</v>
      </c>
      <c r="JR35" s="24">
        <v>106823689</v>
      </c>
      <c r="JS35" s="24">
        <v>13826983</v>
      </c>
      <c r="JT35" s="38">
        <v>0.12939999999999999</v>
      </c>
      <c r="JU35" s="24">
        <v>0</v>
      </c>
      <c r="JV35" s="24">
        <v>0</v>
      </c>
      <c r="JW35" s="24">
        <v>4</v>
      </c>
      <c r="JX35" s="24">
        <v>20718205</v>
      </c>
      <c r="JY35" s="24">
        <v>18</v>
      </c>
      <c r="JZ35" s="24">
        <v>69066673</v>
      </c>
      <c r="KA35" s="24">
        <v>81276802</v>
      </c>
      <c r="KB35" s="24">
        <v>10644836</v>
      </c>
      <c r="KC35" s="38">
        <v>0.13100000000000001</v>
      </c>
      <c r="KD35" s="24">
        <v>0</v>
      </c>
      <c r="KE35" s="24">
        <v>0</v>
      </c>
      <c r="KF35" s="24">
        <v>4</v>
      </c>
      <c r="KG35" s="24">
        <v>23282703</v>
      </c>
      <c r="KH35" s="24">
        <v>14</v>
      </c>
      <c r="KI35" s="24">
        <v>45783970</v>
      </c>
      <c r="KJ35" s="24">
        <v>56035387</v>
      </c>
      <c r="KK35" s="24">
        <v>7390947</v>
      </c>
      <c r="KL35" s="38">
        <v>0.13189999999999999</v>
      </c>
      <c r="KM35" s="24">
        <v>0</v>
      </c>
      <c r="KN35" s="24">
        <v>0</v>
      </c>
      <c r="KO35" s="24">
        <v>3</v>
      </c>
      <c r="KP35" s="24">
        <v>15748403</v>
      </c>
      <c r="KQ35" s="24">
        <v>11</v>
      </c>
      <c r="KR35" s="24">
        <v>30035567</v>
      </c>
      <c r="KS35" s="24">
        <v>38583162</v>
      </c>
      <c r="KT35" s="24">
        <v>4837758</v>
      </c>
      <c r="KU35" s="38">
        <v>0.12540000000000001</v>
      </c>
      <c r="KV35" s="24">
        <v>0</v>
      </c>
      <c r="KW35" s="24">
        <v>0</v>
      </c>
      <c r="KX35" s="24">
        <v>3</v>
      </c>
      <c r="KY35" s="24">
        <v>12247233</v>
      </c>
      <c r="KZ35" s="24">
        <v>8</v>
      </c>
      <c r="LA35" s="24">
        <v>17788334</v>
      </c>
      <c r="LB35" s="24">
        <v>23687889</v>
      </c>
      <c r="LC35" s="24">
        <v>2949179</v>
      </c>
      <c r="LD35" s="38">
        <v>0.1245</v>
      </c>
      <c r="LE35" s="24">
        <v>0</v>
      </c>
      <c r="LF35" s="24">
        <v>0</v>
      </c>
      <c r="LG35" s="24">
        <v>3</v>
      </c>
      <c r="LH35" s="24">
        <v>6572277</v>
      </c>
      <c r="LI35" s="24">
        <v>5</v>
      </c>
      <c r="LJ35" s="24">
        <v>11216057</v>
      </c>
      <c r="LK35" s="24">
        <v>13758610</v>
      </c>
      <c r="LL35" s="24">
        <v>1772168</v>
      </c>
      <c r="LM35" s="38">
        <v>0.1288</v>
      </c>
      <c r="LN35" s="24"/>
      <c r="LO35" s="24"/>
      <c r="LP35" s="24">
        <v>2</v>
      </c>
      <c r="LQ35" s="24">
        <v>3396866</v>
      </c>
      <c r="LR35" s="24">
        <v>3</v>
      </c>
      <c r="LS35" s="24">
        <v>7819191</v>
      </c>
      <c r="LT35" s="24">
        <v>9350715</v>
      </c>
      <c r="LU35" s="24">
        <v>1182487</v>
      </c>
      <c r="LV35" s="38">
        <v>0.1265</v>
      </c>
      <c r="LW35" s="24"/>
      <c r="LX35" s="24"/>
      <c r="LY35" s="24">
        <v>0</v>
      </c>
      <c r="LZ35" s="24">
        <v>1205952</v>
      </c>
      <c r="MA35" s="24">
        <v>3</v>
      </c>
      <c r="MB35" s="24">
        <v>6613239</v>
      </c>
      <c r="MC35" s="24">
        <v>7177703</v>
      </c>
      <c r="MD35" s="24">
        <v>881935</v>
      </c>
      <c r="ME35" s="38">
        <v>0.1229</v>
      </c>
      <c r="MF35" s="24"/>
      <c r="MG35" s="24"/>
      <c r="MH35" s="24">
        <v>0</v>
      </c>
      <c r="MI35" s="24">
        <v>1472473</v>
      </c>
      <c r="MJ35" s="24">
        <v>3</v>
      </c>
      <c r="MK35" s="24">
        <v>5140766</v>
      </c>
      <c r="ML35" s="24">
        <v>5820695</v>
      </c>
      <c r="MM35" s="24">
        <v>718145</v>
      </c>
      <c r="MN35" s="38">
        <v>0.123</v>
      </c>
      <c r="MO35" s="24"/>
      <c r="MP35" s="24"/>
      <c r="MQ35" s="24"/>
      <c r="MR35" s="24">
        <v>1640262</v>
      </c>
      <c r="MS35" s="24">
        <v>3</v>
      </c>
      <c r="MT35" s="24">
        <v>3500504</v>
      </c>
      <c r="MU35" s="24">
        <v>4268892</v>
      </c>
      <c r="MV35" s="24">
        <v>529014</v>
      </c>
      <c r="MW35" s="38">
        <v>0.1239</v>
      </c>
      <c r="MX35" s="24"/>
      <c r="MY35" s="24"/>
      <c r="MZ35" s="24">
        <v>1</v>
      </c>
      <c r="NA35" s="24">
        <v>1592591</v>
      </c>
      <c r="NB35" s="24">
        <v>2</v>
      </c>
      <c r="NC35" s="24">
        <v>1907913</v>
      </c>
      <c r="ND35" s="24">
        <v>2480494</v>
      </c>
      <c r="NE35" s="24">
        <v>307160</v>
      </c>
      <c r="NF35" s="38">
        <v>0.12379999999999999</v>
      </c>
      <c r="NG35" s="24"/>
      <c r="NH35" s="24"/>
      <c r="NI35" s="24"/>
      <c r="NJ35" s="24"/>
      <c r="NK35" s="24"/>
      <c r="NL35" s="24"/>
      <c r="NM35" s="24"/>
      <c r="NN35" s="24"/>
      <c r="NO35" s="38"/>
      <c r="NP35" s="24"/>
      <c r="NQ35" s="24"/>
      <c r="NR35" s="24">
        <v>1</v>
      </c>
      <c r="NS35" s="24">
        <v>525078</v>
      </c>
      <c r="NT35" s="24">
        <v>1</v>
      </c>
      <c r="NU35" s="24">
        <v>592903</v>
      </c>
      <c r="NV35" s="24">
        <v>752378</v>
      </c>
      <c r="NW35" s="24">
        <v>79480</v>
      </c>
      <c r="NX35" s="38">
        <v>0.1056</v>
      </c>
      <c r="NY35" s="24"/>
      <c r="NZ35" s="24"/>
      <c r="OA35" s="24"/>
      <c r="OB35" s="24">
        <v>34910</v>
      </c>
      <c r="OC35" s="24">
        <v>1</v>
      </c>
      <c r="OD35" s="24">
        <v>557993</v>
      </c>
      <c r="OE35" s="24">
        <v>585685</v>
      </c>
      <c r="OF35" s="24">
        <v>69591</v>
      </c>
      <c r="OG35" s="38">
        <v>0.1188</v>
      </c>
      <c r="OH35" s="24"/>
      <c r="OI35" s="24"/>
      <c r="OJ35" s="24"/>
      <c r="OK35" s="24">
        <v>124415</v>
      </c>
      <c r="OL35" s="24">
        <v>1</v>
      </c>
      <c r="OM35" s="24">
        <v>433578</v>
      </c>
      <c r="ON35" s="24">
        <v>490100</v>
      </c>
      <c r="OO35" s="24">
        <v>70585</v>
      </c>
      <c r="OP35" s="38">
        <v>0.14399999999999999</v>
      </c>
      <c r="OQ35" s="24"/>
      <c r="OR35" s="24"/>
      <c r="OS35" s="24"/>
      <c r="OT35" s="24">
        <v>131360</v>
      </c>
      <c r="OU35" s="24">
        <v>1</v>
      </c>
      <c r="OV35" s="24">
        <v>302218</v>
      </c>
      <c r="OW35" s="24">
        <v>363828</v>
      </c>
      <c r="OX35" s="24">
        <v>48640</v>
      </c>
      <c r="OY35" s="38">
        <v>0.13370000000000001</v>
      </c>
    </row>
    <row r="36" spans="1:424" x14ac:dyDescent="0.2">
      <c r="A36" s="35" t="s">
        <v>71</v>
      </c>
      <c r="B36" s="24">
        <v>13</v>
      </c>
      <c r="C36" s="24">
        <v>40731816</v>
      </c>
      <c r="D36" s="24">
        <v>21</v>
      </c>
      <c r="E36" s="24">
        <v>14082043</v>
      </c>
      <c r="F36" s="24">
        <v>16</v>
      </c>
      <c r="G36" s="24">
        <v>50703606</v>
      </c>
      <c r="H36" s="24"/>
      <c r="I36" s="24">
        <v>5883000</v>
      </c>
      <c r="J36" s="38"/>
      <c r="K36" s="24">
        <v>4</v>
      </c>
      <c r="L36" s="24">
        <v>20000000</v>
      </c>
      <c r="M36" s="24">
        <v>1</v>
      </c>
      <c r="N36" s="24">
        <v>5000000</v>
      </c>
      <c r="O36" s="24">
        <v>5</v>
      </c>
      <c r="P36" s="24">
        <v>22720000</v>
      </c>
      <c r="Q36" s="24">
        <v>25000000</v>
      </c>
      <c r="R36" s="24">
        <v>3000000</v>
      </c>
      <c r="S36" s="38">
        <v>0.12</v>
      </c>
      <c r="T36" s="24">
        <v>2</v>
      </c>
      <c r="U36" s="24">
        <v>6700000</v>
      </c>
      <c r="V36" s="24"/>
      <c r="W36" s="24"/>
      <c r="X36" s="24"/>
      <c r="Y36" s="24"/>
      <c r="Z36" s="24"/>
      <c r="AA36" s="24"/>
      <c r="AB36" s="38"/>
      <c r="AC36" s="24">
        <f>3+3</f>
        <v>6</v>
      </c>
      <c r="AD36" s="24">
        <f>19890000+8100000</f>
        <v>27990000</v>
      </c>
      <c r="AE36" s="24"/>
      <c r="AF36" s="24"/>
      <c r="AG36" s="24">
        <f>3+11</f>
        <v>14</v>
      </c>
      <c r="AH36" s="24">
        <f>7798000+19599000</f>
        <v>27397000</v>
      </c>
      <c r="AI36" s="24"/>
      <c r="AJ36" s="24"/>
      <c r="AK36" s="38"/>
      <c r="AL36" s="24">
        <f>6+4</f>
        <v>10</v>
      </c>
      <c r="AM36" s="24">
        <f>9000000+10000000</f>
        <v>19000000</v>
      </c>
      <c r="AN36" s="24"/>
      <c r="AO36" s="24">
        <f>4535000+4440000</f>
        <v>8975000</v>
      </c>
      <c r="AP36" s="24"/>
      <c r="AQ36" s="24">
        <f>12263000+25159000</f>
        <v>37422000</v>
      </c>
      <c r="AR36" s="24">
        <f>(11800000+22200000)/2</f>
        <v>17000000</v>
      </c>
      <c r="AS36" s="24">
        <f>1204000+1621000</f>
        <v>2825000</v>
      </c>
      <c r="AT36" s="38">
        <f>(0.102+0.073)/2</f>
        <v>8.7499999999999994E-2</v>
      </c>
      <c r="AU36" s="24">
        <v>4</v>
      </c>
      <c r="AV36" s="24">
        <v>10698500</v>
      </c>
      <c r="AW36" s="24"/>
      <c r="AX36" s="24">
        <v>8086943</v>
      </c>
      <c r="AY36" s="24">
        <f>9+5</f>
        <v>14</v>
      </c>
      <c r="AZ36" s="24">
        <v>30009321</v>
      </c>
      <c r="BA36" s="24">
        <v>25150800</v>
      </c>
      <c r="BB36" s="24">
        <v>2073000</v>
      </c>
      <c r="BC36" s="38"/>
      <c r="BD36" s="24">
        <f>5+4</f>
        <v>9</v>
      </c>
      <c r="BE36" s="24">
        <v>21950000</v>
      </c>
      <c r="BF36" s="24"/>
      <c r="BG36" s="24">
        <v>23443198</v>
      </c>
      <c r="BH36" s="24">
        <f>11+6</f>
        <v>17</v>
      </c>
      <c r="BI36" s="24">
        <v>28516123</v>
      </c>
      <c r="BJ36" s="24">
        <v>25700791</v>
      </c>
      <c r="BK36" s="24">
        <v>6273000</v>
      </c>
      <c r="BL36" s="38"/>
      <c r="BM36" s="24">
        <v>14</v>
      </c>
      <c r="BN36" s="24">
        <v>56000000</v>
      </c>
      <c r="BO36" s="24">
        <v>7</v>
      </c>
      <c r="BP36" s="24">
        <v>37880231</v>
      </c>
      <c r="BQ36" s="24">
        <v>26</v>
      </c>
      <c r="BR36" s="24">
        <v>84941108</v>
      </c>
      <c r="BS36" s="24">
        <v>81024258</v>
      </c>
      <c r="BT36" s="24">
        <v>8969000</v>
      </c>
      <c r="BU36" s="38"/>
      <c r="BV36" s="24">
        <v>35</v>
      </c>
      <c r="BW36" s="24">
        <v>121767000</v>
      </c>
      <c r="BX36" s="24">
        <v>14</v>
      </c>
      <c r="BY36" s="24">
        <v>62539274</v>
      </c>
      <c r="BZ36" s="24">
        <v>47</v>
      </c>
      <c r="CA36" s="24">
        <v>144168831</v>
      </c>
      <c r="CB36" s="24">
        <v>96237916</v>
      </c>
      <c r="CC36" s="24">
        <v>20586000</v>
      </c>
      <c r="CD36" s="38"/>
      <c r="CE36" s="24"/>
      <c r="CF36" s="24"/>
      <c r="CG36" s="24"/>
      <c r="CH36" s="24"/>
      <c r="CI36" s="24"/>
      <c r="CJ36" s="24">
        <v>219593000</v>
      </c>
      <c r="CK36" s="24"/>
      <c r="CL36" s="24"/>
      <c r="CM36" s="38"/>
      <c r="CN36" s="24"/>
      <c r="CO36" s="24"/>
      <c r="CP36" s="24"/>
      <c r="CQ36" s="24"/>
      <c r="CR36" s="24"/>
      <c r="CS36" s="24">
        <v>229780000</v>
      </c>
      <c r="CT36" s="24"/>
      <c r="CU36" s="24"/>
      <c r="CV36" s="38"/>
      <c r="CW36" s="24"/>
      <c r="CX36" s="24"/>
      <c r="CY36" s="24"/>
      <c r="CZ36" s="24"/>
      <c r="DA36" s="24"/>
      <c r="DB36" s="24">
        <v>221016000</v>
      </c>
      <c r="DC36" s="24"/>
      <c r="DD36" s="24"/>
      <c r="DE36" s="38"/>
      <c r="DF36" s="24">
        <v>22</v>
      </c>
      <c r="DG36" s="24">
        <v>76510000</v>
      </c>
      <c r="DH36" s="24">
        <v>38</v>
      </c>
      <c r="DI36" s="24">
        <v>79809000</v>
      </c>
      <c r="DJ36" s="24">
        <v>75</v>
      </c>
      <c r="DK36" s="24">
        <v>217717000</v>
      </c>
      <c r="DL36" s="24">
        <v>219366000</v>
      </c>
      <c r="DM36" s="24">
        <v>42034000</v>
      </c>
      <c r="DN36" s="38">
        <v>0.19159999999999999</v>
      </c>
      <c r="DO36" s="24">
        <v>16</v>
      </c>
      <c r="DP36" s="24">
        <v>25750000</v>
      </c>
      <c r="DQ36" s="24">
        <v>21</v>
      </c>
      <c r="DR36" s="24">
        <v>126037419</v>
      </c>
      <c r="DS36" s="24">
        <v>70</v>
      </c>
      <c r="DT36" s="24">
        <v>117429368</v>
      </c>
      <c r="DU36" s="24">
        <v>146959737</v>
      </c>
      <c r="DV36" s="24">
        <v>27735308</v>
      </c>
      <c r="DW36" s="38">
        <v>0.18870000000000001</v>
      </c>
      <c r="DX36" s="24">
        <v>30</v>
      </c>
      <c r="DY36" s="24">
        <v>97646000</v>
      </c>
      <c r="DZ36" s="24">
        <v>28</v>
      </c>
      <c r="EA36" s="24">
        <v>83496545</v>
      </c>
      <c r="EB36" s="24">
        <v>72</v>
      </c>
      <c r="EC36" s="24">
        <v>131578823</v>
      </c>
      <c r="ED36" s="24">
        <v>128691106</v>
      </c>
      <c r="EE36" s="24">
        <v>17892672</v>
      </c>
      <c r="EF36" s="38">
        <v>0.13900000000000001</v>
      </c>
      <c r="EG36" s="24">
        <v>17</v>
      </c>
      <c r="EH36" s="24">
        <v>57400000</v>
      </c>
      <c r="EI36" s="24">
        <v>23</v>
      </c>
      <c r="EJ36" s="24">
        <v>75996783</v>
      </c>
      <c r="EK36" s="24">
        <v>66</v>
      </c>
      <c r="EL36" s="24">
        <v>112982040</v>
      </c>
      <c r="EM36" s="24">
        <v>116995386</v>
      </c>
      <c r="EN36" s="24">
        <v>14745615</v>
      </c>
      <c r="EO36" s="38">
        <v>0.126</v>
      </c>
      <c r="EP36" s="24">
        <v>21</v>
      </c>
      <c r="EQ36" s="24">
        <v>100802883</v>
      </c>
      <c r="ER36" s="24">
        <v>23</v>
      </c>
      <c r="ES36" s="24">
        <v>60637911</v>
      </c>
      <c r="ET36" s="24">
        <v>64</v>
      </c>
      <c r="EU36" s="24">
        <v>153147012</v>
      </c>
      <c r="EV36" s="24">
        <v>114464284</v>
      </c>
      <c r="EW36" s="24">
        <v>14556588</v>
      </c>
      <c r="EX36" s="38">
        <v>0.12709999999999999</v>
      </c>
      <c r="EY36" s="24">
        <v>24</v>
      </c>
      <c r="EZ36" s="24">
        <v>128057148</v>
      </c>
      <c r="FA36" s="24">
        <v>31</v>
      </c>
      <c r="FB36" s="24">
        <v>135482441</v>
      </c>
      <c r="FC36" s="24">
        <v>57</v>
      </c>
      <c r="FD36" s="24">
        <v>145721719</v>
      </c>
      <c r="FE36" s="24">
        <v>146920305</v>
      </c>
      <c r="FF36" s="24">
        <v>21673178</v>
      </c>
      <c r="FG36" s="38">
        <v>0.14749999999999999</v>
      </c>
      <c r="FH36" s="24">
        <v>17</v>
      </c>
      <c r="FI36" s="24">
        <v>113650000</v>
      </c>
      <c r="FJ36" s="24">
        <v>24</v>
      </c>
      <c r="FK36" s="24">
        <v>64796377</v>
      </c>
      <c r="FL36" s="24">
        <v>50</v>
      </c>
      <c r="FM36" s="24">
        <v>202896428</v>
      </c>
      <c r="FN36" s="24">
        <v>162869023</v>
      </c>
      <c r="FO36" s="24">
        <v>21424658</v>
      </c>
      <c r="FP36" s="38">
        <v>0.13150000000000001</v>
      </c>
      <c r="FQ36" s="24">
        <v>30</v>
      </c>
      <c r="FR36" s="24">
        <v>296043370</v>
      </c>
      <c r="FS36" s="24">
        <v>25</v>
      </c>
      <c r="FT36" s="24">
        <v>189725785</v>
      </c>
      <c r="FU36" s="24">
        <v>55</v>
      </c>
      <c r="FV36" s="24">
        <v>309214013</v>
      </c>
      <c r="FW36" s="24">
        <v>238327529</v>
      </c>
      <c r="FX36" s="24">
        <v>29620273</v>
      </c>
      <c r="FY36" s="38">
        <v>0.12429999999999999</v>
      </c>
      <c r="FZ36" s="24">
        <v>60</v>
      </c>
      <c r="GA36" s="24">
        <v>532407330</v>
      </c>
      <c r="GB36" s="24">
        <v>42</v>
      </c>
      <c r="GC36" s="24">
        <v>353746672</v>
      </c>
      <c r="GD36" s="24">
        <v>73</v>
      </c>
      <c r="GE36" s="24">
        <v>487874671</v>
      </c>
      <c r="GF36" s="24">
        <v>353729924</v>
      </c>
      <c r="GG36" s="24">
        <v>46006138</v>
      </c>
      <c r="GH36" s="38">
        <v>0.13009999999999999</v>
      </c>
      <c r="GI36" s="24">
        <v>61</v>
      </c>
      <c r="GJ36" s="24">
        <v>549659173</v>
      </c>
      <c r="GK36" s="24">
        <v>44</v>
      </c>
      <c r="GL36" s="24">
        <v>432846430</v>
      </c>
      <c r="GM36" s="24">
        <v>90</v>
      </c>
      <c r="GN36" s="24">
        <v>604687414</v>
      </c>
      <c r="GO36" s="24">
        <v>474143378</v>
      </c>
      <c r="GP36" s="24">
        <v>63233396</v>
      </c>
      <c r="GQ36" s="38">
        <v>0.13339999999999999</v>
      </c>
      <c r="GR36" s="24">
        <v>57</v>
      </c>
      <c r="GS36" s="24">
        <v>554695980</v>
      </c>
      <c r="GT36" s="24">
        <v>51</v>
      </c>
      <c r="GU36" s="24">
        <v>538465317</v>
      </c>
      <c r="GV36" s="24">
        <v>96</v>
      </c>
      <c r="GW36" s="24">
        <v>620918077</v>
      </c>
      <c r="GX36" s="24">
        <v>591284274</v>
      </c>
      <c r="GY36" s="24">
        <v>84272039</v>
      </c>
      <c r="GZ36" s="38">
        <v>0.14249999999999999</v>
      </c>
      <c r="HA36" s="24">
        <v>60</v>
      </c>
      <c r="HB36" s="24">
        <v>494607561</v>
      </c>
      <c r="HC36" s="24">
        <v>54</v>
      </c>
      <c r="HD36" s="24">
        <v>481641038</v>
      </c>
      <c r="HE36" s="24">
        <v>102</v>
      </c>
      <c r="HF36" s="24">
        <v>633884600</v>
      </c>
      <c r="HG36" s="24">
        <v>596202018</v>
      </c>
      <c r="HH36" s="24">
        <v>76923049</v>
      </c>
      <c r="HI36" s="38">
        <v>0.129</v>
      </c>
      <c r="HJ36" s="24">
        <v>45</v>
      </c>
      <c r="HK36" s="24">
        <v>412050000</v>
      </c>
      <c r="HL36" s="24">
        <v>36</v>
      </c>
      <c r="HM36" s="24">
        <v>347419016</v>
      </c>
      <c r="HN36" s="24">
        <v>111</v>
      </c>
      <c r="HO36" s="24">
        <v>698515584</v>
      </c>
      <c r="HP36" s="24">
        <v>646493483</v>
      </c>
      <c r="HQ36" s="24">
        <v>92513663</v>
      </c>
      <c r="HR36" s="38">
        <v>0.1431</v>
      </c>
      <c r="HS36" s="24"/>
      <c r="HT36" s="24"/>
      <c r="HU36" s="24"/>
      <c r="HV36" s="24"/>
      <c r="HW36" s="24"/>
      <c r="HX36" s="24"/>
      <c r="HY36" s="24"/>
      <c r="HZ36" s="24"/>
      <c r="IA36" s="38"/>
      <c r="IB36" s="24"/>
      <c r="IC36" s="24"/>
      <c r="ID36" s="24"/>
      <c r="IE36" s="24"/>
      <c r="IF36" s="24"/>
      <c r="IG36" s="24"/>
      <c r="IH36" s="24"/>
      <c r="II36" s="24"/>
      <c r="IJ36" s="38"/>
      <c r="IK36" s="24"/>
      <c r="IL36" s="24"/>
      <c r="IM36" s="24"/>
      <c r="IN36" s="24"/>
      <c r="IO36" s="24"/>
      <c r="IP36" s="24"/>
      <c r="IQ36" s="24"/>
      <c r="IR36" s="24"/>
      <c r="IS36" s="38"/>
      <c r="IT36" s="24"/>
      <c r="IU36" s="24"/>
      <c r="IV36" s="24"/>
      <c r="IW36" s="24"/>
      <c r="IX36" s="24"/>
      <c r="IY36" s="24"/>
      <c r="IZ36" s="24"/>
      <c r="JA36" s="24"/>
      <c r="JB36" s="38"/>
      <c r="JC36" s="24"/>
      <c r="JD36" s="24"/>
      <c r="JE36" s="24"/>
      <c r="JF36" s="24"/>
      <c r="JG36" s="24"/>
      <c r="JH36" s="24"/>
      <c r="JI36" s="24"/>
      <c r="JJ36" s="24"/>
      <c r="JK36" s="38"/>
      <c r="JL36" s="24"/>
      <c r="JM36" s="24"/>
      <c r="JN36" s="24"/>
      <c r="JO36" s="24"/>
      <c r="JP36" s="24"/>
      <c r="JQ36" s="24"/>
      <c r="JR36" s="24"/>
      <c r="JS36" s="24"/>
      <c r="JT36" s="38"/>
      <c r="JU36" s="24"/>
      <c r="JV36" s="24"/>
      <c r="JW36" s="24"/>
      <c r="JX36" s="24"/>
      <c r="JY36" s="24"/>
      <c r="JZ36" s="24"/>
      <c r="KA36" s="24"/>
      <c r="KB36" s="24"/>
      <c r="KC36" s="38"/>
      <c r="KD36" s="24"/>
      <c r="KE36" s="24"/>
      <c r="KF36" s="24"/>
      <c r="KG36" s="24"/>
      <c r="KH36" s="24"/>
      <c r="KI36" s="24"/>
      <c r="KJ36" s="24"/>
      <c r="KK36" s="24"/>
      <c r="KL36" s="38"/>
      <c r="KM36" s="24"/>
      <c r="KN36" s="24"/>
      <c r="KO36" s="24"/>
      <c r="KP36" s="24"/>
      <c r="KQ36" s="24"/>
      <c r="KR36" s="24"/>
      <c r="KS36" s="24"/>
      <c r="KT36" s="24"/>
      <c r="KU36" s="38"/>
      <c r="KV36" s="24"/>
      <c r="KW36" s="24"/>
      <c r="KX36" s="24"/>
      <c r="KY36" s="24"/>
      <c r="KZ36" s="24"/>
      <c r="LA36" s="24"/>
      <c r="LB36" s="24"/>
      <c r="LC36" s="24"/>
      <c r="LD36" s="38"/>
      <c r="LE36" s="24"/>
      <c r="LF36" s="24"/>
      <c r="LG36" s="24"/>
      <c r="LH36" s="24"/>
      <c r="LI36" s="24"/>
      <c r="LJ36" s="24"/>
      <c r="LK36" s="24"/>
      <c r="LL36" s="24"/>
      <c r="LM36" s="38"/>
      <c r="LN36" s="24"/>
      <c r="LO36" s="24"/>
      <c r="LP36" s="24"/>
      <c r="LQ36" s="24"/>
      <c r="LR36" s="24"/>
      <c r="LS36" s="24"/>
      <c r="LT36" s="24"/>
      <c r="LU36" s="24"/>
      <c r="LV36" s="38"/>
      <c r="LW36" s="24"/>
      <c r="LX36" s="24"/>
      <c r="LY36" s="24"/>
      <c r="LZ36" s="24"/>
      <c r="MA36" s="24"/>
      <c r="MB36" s="24"/>
      <c r="MC36" s="24"/>
      <c r="MD36" s="24"/>
      <c r="ME36" s="38"/>
      <c r="MF36" s="24"/>
      <c r="MG36" s="24"/>
      <c r="MH36" s="24"/>
      <c r="MI36" s="24"/>
      <c r="MJ36" s="24"/>
      <c r="MK36" s="24"/>
      <c r="ML36" s="24"/>
      <c r="MM36" s="24"/>
      <c r="MN36" s="38"/>
      <c r="MO36" s="24"/>
      <c r="MP36" s="24"/>
      <c r="MQ36" s="24"/>
      <c r="MR36" s="24"/>
      <c r="MS36" s="24"/>
      <c r="MT36" s="24"/>
      <c r="MU36" s="24"/>
      <c r="MV36" s="24"/>
      <c r="MW36" s="38"/>
      <c r="MX36" s="24"/>
      <c r="MY36" s="24"/>
      <c r="MZ36" s="24"/>
      <c r="NA36" s="24"/>
      <c r="NB36" s="24"/>
      <c r="NC36" s="24"/>
      <c r="ND36" s="24"/>
      <c r="NE36" s="24"/>
      <c r="NF36" s="38"/>
      <c r="NG36" s="24"/>
      <c r="NH36" s="24"/>
      <c r="NI36" s="24"/>
      <c r="NJ36" s="24"/>
      <c r="NK36" s="24"/>
      <c r="NL36" s="24"/>
      <c r="NM36" s="24"/>
      <c r="NN36" s="24"/>
      <c r="NO36" s="38"/>
      <c r="NP36" s="24"/>
      <c r="NQ36" s="24"/>
      <c r="NR36" s="24"/>
      <c r="NS36" s="24"/>
      <c r="NT36" s="24"/>
      <c r="NU36" s="24"/>
      <c r="NV36" s="24"/>
      <c r="NW36" s="24"/>
      <c r="NX36" s="38"/>
      <c r="NY36" s="24"/>
      <c r="NZ36" s="24"/>
      <c r="OA36" s="24"/>
      <c r="OB36" s="24"/>
      <c r="OC36" s="24"/>
      <c r="OD36" s="24"/>
      <c r="OE36" s="24"/>
      <c r="OF36" s="24"/>
      <c r="OG36" s="38"/>
      <c r="OH36" s="24"/>
      <c r="OI36" s="24"/>
      <c r="OJ36" s="24"/>
      <c r="OK36" s="24"/>
      <c r="OL36" s="24"/>
      <c r="OM36" s="24"/>
      <c r="ON36" s="24"/>
      <c r="OO36" s="24"/>
      <c r="OP36" s="38"/>
      <c r="OQ36" s="24"/>
      <c r="OR36" s="24"/>
      <c r="OS36" s="24"/>
      <c r="OT36" s="24"/>
      <c r="OU36" s="24"/>
      <c r="OV36" s="24"/>
      <c r="OW36" s="24"/>
      <c r="OX36" s="24"/>
      <c r="OY36" s="38"/>
    </row>
    <row r="37" spans="1:424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  <c r="K37" s="24"/>
      <c r="L37" s="24"/>
      <c r="M37" s="24"/>
      <c r="N37" s="24"/>
      <c r="O37" s="24"/>
      <c r="P37" s="24"/>
      <c r="Q37" s="24"/>
      <c r="R37" s="24"/>
      <c r="S37" s="38"/>
      <c r="T37" s="24"/>
      <c r="U37" s="24"/>
      <c r="V37" s="24"/>
      <c r="W37" s="24"/>
      <c r="X37" s="24"/>
      <c r="Y37" s="24"/>
      <c r="Z37" s="24"/>
      <c r="AA37" s="24"/>
      <c r="AB37" s="38"/>
      <c r="AC37" s="24"/>
      <c r="AD37" s="24"/>
      <c r="AE37" s="24"/>
      <c r="AF37" s="24"/>
      <c r="AG37" s="24"/>
      <c r="AH37" s="24"/>
      <c r="AI37" s="24"/>
      <c r="AJ37" s="24"/>
      <c r="AK37" s="38"/>
      <c r="AL37" s="24"/>
      <c r="AM37" s="24"/>
      <c r="AN37" s="24"/>
      <c r="AO37" s="24"/>
      <c r="AP37" s="24"/>
      <c r="AQ37" s="24"/>
      <c r="AR37" s="24"/>
      <c r="AS37" s="24"/>
      <c r="AT37" s="38"/>
      <c r="AU37" s="24"/>
      <c r="AV37" s="24"/>
      <c r="AW37" s="24"/>
      <c r="AX37" s="24"/>
      <c r="AY37" s="24"/>
      <c r="AZ37" s="24"/>
      <c r="BA37" s="24"/>
      <c r="BB37" s="24"/>
      <c r="BC37" s="38"/>
      <c r="BD37" s="24">
        <v>1</v>
      </c>
      <c r="BE37" s="24">
        <v>6000000</v>
      </c>
      <c r="BF37" s="24"/>
      <c r="BG37" s="24">
        <v>195824</v>
      </c>
      <c r="BH37" s="24">
        <v>1</v>
      </c>
      <c r="BI37" s="24">
        <v>5804176</v>
      </c>
      <c r="BJ37" s="24">
        <v>5902657</v>
      </c>
      <c r="BK37" s="24">
        <v>249000</v>
      </c>
      <c r="BL37" s="38"/>
      <c r="BM37" s="24"/>
      <c r="BN37" s="24"/>
      <c r="BO37" s="24"/>
      <c r="BP37" s="24"/>
      <c r="BQ37" s="24"/>
      <c r="BR37" s="24"/>
      <c r="BS37" s="24"/>
      <c r="BT37" s="24">
        <v>465000</v>
      </c>
      <c r="BU37" s="38"/>
      <c r="BV37" s="24"/>
      <c r="BW37" s="24"/>
      <c r="BX37" s="24"/>
      <c r="BY37" s="24"/>
      <c r="BZ37" s="24"/>
      <c r="CA37" s="24"/>
      <c r="CB37" s="24"/>
      <c r="CC37" s="24"/>
      <c r="CD37" s="38"/>
      <c r="CE37" s="24"/>
      <c r="CF37" s="24"/>
      <c r="CG37" s="24"/>
      <c r="CH37" s="24"/>
      <c r="CI37" s="24"/>
      <c r="CJ37" s="24"/>
      <c r="CK37" s="24"/>
      <c r="CL37" s="24"/>
      <c r="CM37" s="38"/>
      <c r="CN37" s="24"/>
      <c r="CO37" s="24"/>
      <c r="CP37" s="24"/>
      <c r="CQ37" s="24"/>
      <c r="CR37" s="24"/>
      <c r="CS37" s="24"/>
      <c r="CT37" s="24"/>
      <c r="CU37" s="24"/>
      <c r="CV37" s="38"/>
      <c r="CW37" s="24"/>
      <c r="CX37" s="24"/>
      <c r="CY37" s="24"/>
      <c r="CZ37" s="24"/>
      <c r="DA37" s="24"/>
      <c r="DB37" s="24"/>
      <c r="DC37" s="24"/>
      <c r="DD37" s="24"/>
      <c r="DE37" s="38"/>
      <c r="DF37" s="24"/>
      <c r="DG37" s="24"/>
      <c r="DH37" s="24"/>
      <c r="DI37" s="24"/>
      <c r="DJ37" s="24"/>
      <c r="DK37" s="24"/>
      <c r="DL37" s="24"/>
      <c r="DM37" s="24"/>
      <c r="DN37" s="38"/>
      <c r="DO37" s="24"/>
      <c r="DP37" s="24"/>
      <c r="DQ37" s="24"/>
      <c r="DR37" s="24"/>
      <c r="DS37" s="24"/>
      <c r="DT37" s="24"/>
      <c r="DU37" s="24"/>
      <c r="DV37" s="24"/>
      <c r="DW37" s="38"/>
      <c r="DX37" s="24"/>
      <c r="DY37" s="24"/>
      <c r="DZ37" s="24"/>
      <c r="EA37" s="24"/>
      <c r="EB37" s="24"/>
      <c r="EC37" s="24"/>
      <c r="ED37" s="24"/>
      <c r="EE37" s="24"/>
      <c r="EF37" s="38"/>
      <c r="EG37" s="24"/>
      <c r="EH37" s="24"/>
      <c r="EI37" s="24"/>
      <c r="EJ37" s="24"/>
      <c r="EK37" s="24"/>
      <c r="EL37" s="24"/>
      <c r="EM37" s="24"/>
      <c r="EN37" s="24"/>
      <c r="EO37" s="38"/>
      <c r="EP37" s="24"/>
      <c r="EQ37" s="24"/>
      <c r="ER37" s="24"/>
      <c r="ES37" s="24"/>
      <c r="ET37" s="24"/>
      <c r="EU37" s="24"/>
      <c r="EV37" s="24"/>
      <c r="EW37" s="24"/>
      <c r="EX37" s="38"/>
      <c r="EY37" s="24"/>
      <c r="EZ37" s="24"/>
      <c r="FA37" s="24"/>
      <c r="FB37" s="24"/>
      <c r="FC37" s="24"/>
      <c r="FD37" s="24"/>
      <c r="FE37" s="24"/>
      <c r="FF37" s="24"/>
      <c r="FG37" s="38"/>
      <c r="FH37" s="24"/>
      <c r="FI37" s="24"/>
      <c r="FJ37" s="24"/>
      <c r="FK37" s="24"/>
      <c r="FL37" s="24"/>
      <c r="FM37" s="24"/>
      <c r="FN37" s="24"/>
      <c r="FO37" s="24"/>
      <c r="FP37" s="38"/>
      <c r="FQ37" s="24"/>
      <c r="FR37" s="24"/>
      <c r="FS37" s="24"/>
      <c r="FT37" s="24"/>
      <c r="FU37" s="24"/>
      <c r="FV37" s="24"/>
      <c r="FW37" s="24"/>
      <c r="FX37" s="24"/>
      <c r="FY37" s="38"/>
      <c r="FZ37" s="24"/>
      <c r="GA37" s="24"/>
      <c r="GB37" s="24"/>
      <c r="GC37" s="24"/>
      <c r="GD37" s="24"/>
      <c r="GE37" s="24"/>
      <c r="GF37" s="24"/>
      <c r="GG37" s="24"/>
      <c r="GH37" s="38"/>
      <c r="GI37" s="24"/>
      <c r="GJ37" s="24"/>
      <c r="GK37" s="24"/>
      <c r="GL37" s="24"/>
      <c r="GM37" s="24"/>
      <c r="GN37" s="24"/>
      <c r="GO37" s="24"/>
      <c r="GP37" s="24"/>
      <c r="GQ37" s="38"/>
      <c r="GR37" s="24"/>
      <c r="GS37" s="24"/>
      <c r="GT37" s="24"/>
      <c r="GU37" s="24"/>
      <c r="GV37" s="24"/>
      <c r="GW37" s="24"/>
      <c r="GX37" s="24"/>
      <c r="GY37" s="24"/>
      <c r="GZ37" s="38"/>
      <c r="HA37" s="24"/>
      <c r="HB37" s="24"/>
      <c r="HC37" s="24"/>
      <c r="HD37" s="24"/>
      <c r="HE37" s="24"/>
      <c r="HF37" s="24"/>
      <c r="HG37" s="24"/>
      <c r="HH37" s="24"/>
      <c r="HI37" s="38"/>
      <c r="HJ37" s="24"/>
      <c r="HK37" s="24"/>
      <c r="HL37" s="24"/>
      <c r="HM37" s="24"/>
      <c r="HN37" s="24"/>
      <c r="HO37" s="24"/>
      <c r="HP37" s="24"/>
      <c r="HQ37" s="24"/>
      <c r="HR37" s="38"/>
      <c r="HS37" s="24"/>
      <c r="HT37" s="24"/>
      <c r="HU37" s="24"/>
      <c r="HV37" s="24"/>
      <c r="HW37" s="24"/>
      <c r="HX37" s="24"/>
      <c r="HY37" s="24"/>
      <c r="HZ37" s="24"/>
      <c r="IA37" s="38"/>
      <c r="IB37" s="24"/>
      <c r="IC37" s="24"/>
      <c r="ID37" s="24"/>
      <c r="IE37" s="24"/>
      <c r="IF37" s="24"/>
      <c r="IG37" s="24"/>
      <c r="IH37" s="24"/>
      <c r="II37" s="24"/>
      <c r="IJ37" s="38"/>
      <c r="IK37" s="24"/>
      <c r="IL37" s="24"/>
      <c r="IM37" s="24"/>
      <c r="IN37" s="24"/>
      <c r="IO37" s="24"/>
      <c r="IP37" s="24"/>
      <c r="IQ37" s="24"/>
      <c r="IR37" s="24"/>
      <c r="IS37" s="38"/>
      <c r="IT37" s="24"/>
      <c r="IU37" s="24"/>
      <c r="IV37" s="24"/>
      <c r="IW37" s="24"/>
      <c r="IX37" s="24"/>
      <c r="IY37" s="24"/>
      <c r="IZ37" s="24"/>
      <c r="JA37" s="24"/>
      <c r="JB37" s="38"/>
      <c r="JC37" s="24"/>
      <c r="JD37" s="24"/>
      <c r="JE37" s="24"/>
      <c r="JF37" s="24"/>
      <c r="JG37" s="24"/>
      <c r="JH37" s="24"/>
      <c r="JI37" s="24"/>
      <c r="JJ37" s="24"/>
      <c r="JK37" s="38"/>
      <c r="JL37" s="24"/>
      <c r="JM37" s="24"/>
      <c r="JN37" s="24"/>
      <c r="JO37" s="24"/>
      <c r="JP37" s="24"/>
      <c r="JQ37" s="24"/>
      <c r="JR37" s="24"/>
      <c r="JS37" s="24"/>
      <c r="JT37" s="38"/>
      <c r="JU37" s="24"/>
      <c r="JV37" s="24"/>
      <c r="JW37" s="24"/>
      <c r="JX37" s="24"/>
      <c r="JY37" s="24"/>
      <c r="JZ37" s="24"/>
      <c r="KA37" s="24"/>
      <c r="KB37" s="24"/>
      <c r="KC37" s="38"/>
      <c r="KD37" s="24"/>
      <c r="KE37" s="24"/>
      <c r="KF37" s="24"/>
      <c r="KG37" s="24"/>
      <c r="KH37" s="24"/>
      <c r="KI37" s="24"/>
      <c r="KJ37" s="24"/>
      <c r="KK37" s="24"/>
      <c r="KL37" s="38"/>
      <c r="KM37" s="24"/>
      <c r="KN37" s="24"/>
      <c r="KO37" s="24"/>
      <c r="KP37" s="24"/>
      <c r="KQ37" s="24"/>
      <c r="KR37" s="24"/>
      <c r="KS37" s="24"/>
      <c r="KT37" s="24"/>
      <c r="KU37" s="38"/>
      <c r="KV37" s="24"/>
      <c r="KW37" s="24"/>
      <c r="KX37" s="24"/>
      <c r="KY37" s="24"/>
      <c r="KZ37" s="24"/>
      <c r="LA37" s="24"/>
      <c r="LB37" s="24"/>
      <c r="LC37" s="24"/>
      <c r="LD37" s="38"/>
      <c r="LE37" s="24"/>
      <c r="LF37" s="24"/>
      <c r="LG37" s="24"/>
      <c r="LH37" s="24"/>
      <c r="LI37" s="24"/>
      <c r="LJ37" s="24"/>
      <c r="LK37" s="24"/>
      <c r="LL37" s="24"/>
      <c r="LM37" s="38"/>
      <c r="LN37" s="24"/>
      <c r="LO37" s="24"/>
      <c r="LP37" s="24"/>
      <c r="LQ37" s="24"/>
      <c r="LR37" s="24"/>
      <c r="LS37" s="24"/>
      <c r="LT37" s="24"/>
      <c r="LU37" s="24"/>
      <c r="LV37" s="38"/>
      <c r="LW37" s="24"/>
      <c r="LX37" s="24"/>
      <c r="LY37" s="24"/>
      <c r="LZ37" s="24"/>
      <c r="MA37" s="24"/>
      <c r="MB37" s="24"/>
      <c r="MC37" s="24"/>
      <c r="MD37" s="24"/>
      <c r="ME37" s="38"/>
      <c r="MF37" s="24"/>
      <c r="MG37" s="24"/>
      <c r="MH37" s="24"/>
      <c r="MI37" s="24"/>
      <c r="MJ37" s="24"/>
      <c r="MK37" s="24"/>
      <c r="ML37" s="24"/>
      <c r="MM37" s="24"/>
      <c r="MN37" s="38"/>
      <c r="MO37" s="24"/>
      <c r="MP37" s="24"/>
      <c r="MQ37" s="24"/>
      <c r="MR37" s="24"/>
      <c r="MS37" s="24"/>
      <c r="MT37" s="24"/>
      <c r="MU37" s="24"/>
      <c r="MV37" s="24"/>
      <c r="MW37" s="38"/>
      <c r="MX37" s="24"/>
      <c r="MY37" s="24"/>
      <c r="MZ37" s="24"/>
      <c r="NA37" s="24"/>
      <c r="NB37" s="24"/>
      <c r="NC37" s="24"/>
      <c r="ND37" s="24"/>
      <c r="NE37" s="24"/>
      <c r="NF37" s="38"/>
      <c r="NG37" s="24"/>
      <c r="NH37" s="24"/>
      <c r="NI37" s="24"/>
      <c r="NJ37" s="24"/>
      <c r="NK37" s="24"/>
      <c r="NL37" s="24"/>
      <c r="NM37" s="24"/>
      <c r="NN37" s="24"/>
      <c r="NO37" s="38"/>
      <c r="NP37" s="24"/>
      <c r="NQ37" s="24"/>
      <c r="NR37" s="24"/>
      <c r="NS37" s="24"/>
      <c r="NT37" s="24"/>
      <c r="NU37" s="24"/>
      <c r="NV37" s="24"/>
      <c r="NW37" s="24"/>
      <c r="NX37" s="38"/>
      <c r="NY37" s="24"/>
      <c r="NZ37" s="24"/>
      <c r="OA37" s="24"/>
      <c r="OB37" s="24"/>
      <c r="OC37" s="24"/>
      <c r="OD37" s="24"/>
      <c r="OE37" s="24"/>
      <c r="OF37" s="24"/>
      <c r="OG37" s="38"/>
      <c r="OH37" s="24"/>
      <c r="OI37" s="24"/>
      <c r="OJ37" s="24"/>
      <c r="OK37" s="24"/>
      <c r="OL37" s="24"/>
      <c r="OM37" s="24"/>
      <c r="ON37" s="24"/>
      <c r="OO37" s="24"/>
      <c r="OP37" s="38"/>
      <c r="OQ37" s="24"/>
      <c r="OR37" s="24"/>
      <c r="OS37" s="24"/>
      <c r="OT37" s="24"/>
      <c r="OU37" s="24"/>
      <c r="OV37" s="24"/>
      <c r="OW37" s="24"/>
      <c r="OX37" s="24"/>
      <c r="OY37" s="38"/>
    </row>
    <row r="38" spans="1:424" s="26" customFormat="1" x14ac:dyDescent="0.2">
      <c r="A38" s="36" t="s">
        <v>73</v>
      </c>
      <c r="B38" s="25">
        <f>SUM(B32:B37)</f>
        <v>13</v>
      </c>
      <c r="C38" s="25">
        <f t="shared" ref="C38:I38" si="315">SUM(C32:C37)</f>
        <v>40731816</v>
      </c>
      <c r="D38" s="25">
        <f t="shared" si="315"/>
        <v>21</v>
      </c>
      <c r="E38" s="25">
        <f t="shared" si="315"/>
        <v>14082043</v>
      </c>
      <c r="F38" s="25">
        <f t="shared" si="315"/>
        <v>16</v>
      </c>
      <c r="G38" s="25">
        <f t="shared" si="315"/>
        <v>50703606</v>
      </c>
      <c r="H38" s="25">
        <f t="shared" si="315"/>
        <v>0</v>
      </c>
      <c r="I38" s="25">
        <f t="shared" si="315"/>
        <v>5883000</v>
      </c>
      <c r="J38" s="39" t="str">
        <f>IF(SUM(J32:J37)=0,"",SUM(J32:J37)/COUNT(J32:J37))</f>
        <v/>
      </c>
      <c r="K38" s="25">
        <f>SUM(K32:K37)</f>
        <v>4</v>
      </c>
      <c r="L38" s="25">
        <f t="shared" ref="L38" si="316">SUM(L32:L37)</f>
        <v>20000000</v>
      </c>
      <c r="M38" s="25">
        <f t="shared" ref="M38" si="317">SUM(M32:M37)</f>
        <v>1</v>
      </c>
      <c r="N38" s="25">
        <f t="shared" ref="N38" si="318">SUM(N32:N37)</f>
        <v>5000000</v>
      </c>
      <c r="O38" s="25">
        <f t="shared" ref="O38" si="319">SUM(O32:O37)</f>
        <v>5</v>
      </c>
      <c r="P38" s="25">
        <f t="shared" ref="P38" si="320">SUM(P32:P37)</f>
        <v>22720000</v>
      </c>
      <c r="Q38" s="25">
        <f t="shared" ref="Q38" si="321">SUM(Q32:Q37)</f>
        <v>25000000</v>
      </c>
      <c r="R38" s="25">
        <f t="shared" ref="R38" si="322">SUM(R32:R37)</f>
        <v>3000000</v>
      </c>
      <c r="S38" s="39">
        <f>IF(SUM(S32:S37)=0,"",SUM(S32:S37)/COUNT(S32:S37))</f>
        <v>0.12</v>
      </c>
      <c r="T38" s="25">
        <f>SUM(T32:T37)</f>
        <v>2</v>
      </c>
      <c r="U38" s="25">
        <f t="shared" ref="U38" si="323">SUM(U32:U37)</f>
        <v>6700000</v>
      </c>
      <c r="V38" s="25">
        <f t="shared" ref="V38" si="324">SUM(V32:V37)</f>
        <v>0</v>
      </c>
      <c r="W38" s="25">
        <f t="shared" ref="W38" si="325">SUM(W32:W37)</f>
        <v>0</v>
      </c>
      <c r="X38" s="25">
        <f t="shared" ref="X38" si="326">SUM(X32:X37)</f>
        <v>0</v>
      </c>
      <c r="Y38" s="25">
        <f t="shared" ref="Y38" si="327">SUM(Y32:Y37)</f>
        <v>0</v>
      </c>
      <c r="Z38" s="25">
        <f t="shared" ref="Z38" si="328">SUM(Z32:Z37)</f>
        <v>0</v>
      </c>
      <c r="AA38" s="25">
        <f t="shared" ref="AA38" si="329">SUM(AA32:AA37)</f>
        <v>0</v>
      </c>
      <c r="AB38" s="39" t="str">
        <f>IF(SUM(AB32:AB37)=0,"",SUM(AB32:AB37)/COUNT(AB32:AB37))</f>
        <v/>
      </c>
      <c r="AC38" s="25">
        <f>SUM(AC32:AC37)</f>
        <v>6</v>
      </c>
      <c r="AD38" s="25">
        <f t="shared" ref="AD38" si="330">SUM(AD32:AD37)</f>
        <v>27990000</v>
      </c>
      <c r="AE38" s="25">
        <f t="shared" ref="AE38" si="331">SUM(AE32:AE37)</f>
        <v>0</v>
      </c>
      <c r="AF38" s="25">
        <f t="shared" ref="AF38" si="332">SUM(AF32:AF37)</f>
        <v>0</v>
      </c>
      <c r="AG38" s="25">
        <f t="shared" ref="AG38" si="333">SUM(AG32:AG37)</f>
        <v>14</v>
      </c>
      <c r="AH38" s="25">
        <f t="shared" ref="AH38" si="334">SUM(AH32:AH37)</f>
        <v>27397000</v>
      </c>
      <c r="AI38" s="25">
        <f t="shared" ref="AI38" si="335">SUM(AI32:AI37)</f>
        <v>0</v>
      </c>
      <c r="AJ38" s="25">
        <f t="shared" ref="AJ38" si="336">SUM(AJ32:AJ37)</f>
        <v>0</v>
      </c>
      <c r="AK38" s="39" t="str">
        <f>IF(SUM(AK32:AK37)=0,"",SUM(AK32:AK37)/COUNT(AK32:AK37))</f>
        <v/>
      </c>
      <c r="AL38" s="25">
        <f>SUM(AL32:AL37)</f>
        <v>10</v>
      </c>
      <c r="AM38" s="25">
        <f t="shared" ref="AM38" si="337">SUM(AM32:AM37)</f>
        <v>19000000</v>
      </c>
      <c r="AN38" s="25">
        <f t="shared" ref="AN38" si="338">SUM(AN32:AN37)</f>
        <v>0</v>
      </c>
      <c r="AO38" s="25">
        <f t="shared" ref="AO38" si="339">SUM(AO32:AO37)</f>
        <v>8975000</v>
      </c>
      <c r="AP38" s="25">
        <f t="shared" ref="AP38" si="340">SUM(AP32:AP37)</f>
        <v>0</v>
      </c>
      <c r="AQ38" s="25">
        <f t="shared" ref="AQ38" si="341">SUM(AQ32:AQ37)</f>
        <v>37422000</v>
      </c>
      <c r="AR38" s="25">
        <f t="shared" ref="AR38" si="342">SUM(AR32:AR37)</f>
        <v>17000000</v>
      </c>
      <c r="AS38" s="25">
        <f t="shared" ref="AS38" si="343">SUM(AS32:AS37)</f>
        <v>2825000</v>
      </c>
      <c r="AT38" s="39">
        <f>IF(SUM(AT32:AT37)=0,"",SUM(AT32:AT37)/COUNT(AT32:AT37))</f>
        <v>8.7499999999999994E-2</v>
      </c>
      <c r="AU38" s="25">
        <f>SUM(AU32:AU37)</f>
        <v>4</v>
      </c>
      <c r="AV38" s="25">
        <f t="shared" ref="AV38" si="344">SUM(AV32:AV37)</f>
        <v>10698500</v>
      </c>
      <c r="AW38" s="25">
        <f t="shared" ref="AW38" si="345">SUM(AW32:AW37)</f>
        <v>0</v>
      </c>
      <c r="AX38" s="25">
        <f t="shared" ref="AX38" si="346">SUM(AX32:AX37)</f>
        <v>8086943</v>
      </c>
      <c r="AY38" s="25">
        <f t="shared" ref="AY38" si="347">SUM(AY32:AY37)</f>
        <v>14</v>
      </c>
      <c r="AZ38" s="25">
        <f t="shared" ref="AZ38" si="348">SUM(AZ32:AZ37)</f>
        <v>30009321</v>
      </c>
      <c r="BA38" s="25">
        <f t="shared" ref="BA38" si="349">SUM(BA32:BA37)</f>
        <v>25150800</v>
      </c>
      <c r="BB38" s="25">
        <f t="shared" ref="BB38" si="350">SUM(BB32:BB37)</f>
        <v>2073000</v>
      </c>
      <c r="BC38" s="39" t="str">
        <f>IF(SUM(BC32:BC37)=0,"",SUM(BC32:BC37)/COUNT(BC32:BC37))</f>
        <v/>
      </c>
      <c r="BD38" s="25">
        <f>SUM(BD32:BD37)</f>
        <v>10</v>
      </c>
      <c r="BE38" s="25">
        <f t="shared" ref="BE38" si="351">SUM(BE32:BE37)</f>
        <v>27950000</v>
      </c>
      <c r="BF38" s="25">
        <f t="shared" ref="BF38" si="352">SUM(BF32:BF37)</f>
        <v>0</v>
      </c>
      <c r="BG38" s="25">
        <f t="shared" ref="BG38" si="353">SUM(BG32:BG37)</f>
        <v>23639022</v>
      </c>
      <c r="BH38" s="25">
        <f t="shared" ref="BH38" si="354">SUM(BH32:BH37)</f>
        <v>18</v>
      </c>
      <c r="BI38" s="25">
        <f t="shared" ref="BI38" si="355">SUM(BI32:BI37)</f>
        <v>34320299</v>
      </c>
      <c r="BJ38" s="25">
        <f t="shared" ref="BJ38" si="356">SUM(BJ32:BJ37)</f>
        <v>31603448</v>
      </c>
      <c r="BK38" s="25">
        <f t="shared" ref="BK38" si="357">SUM(BK32:BK37)</f>
        <v>6522000</v>
      </c>
      <c r="BL38" s="39" t="str">
        <f>IF(SUM(BL32:BL37)=0,"",SUM(BL32:BL37)/COUNT(BL32:BL37))</f>
        <v/>
      </c>
      <c r="BM38" s="25">
        <f>SUM(BM32:BM37)</f>
        <v>14</v>
      </c>
      <c r="BN38" s="25">
        <f t="shared" ref="BN38" si="358">SUM(BN32:BN37)</f>
        <v>56000000</v>
      </c>
      <c r="BO38" s="25">
        <f t="shared" ref="BO38" si="359">SUM(BO32:BO37)</f>
        <v>7</v>
      </c>
      <c r="BP38" s="25">
        <f t="shared" ref="BP38" si="360">SUM(BP32:BP37)</f>
        <v>37880231</v>
      </c>
      <c r="BQ38" s="25">
        <f t="shared" ref="BQ38" si="361">SUM(BQ32:BQ37)</f>
        <v>26</v>
      </c>
      <c r="BR38" s="25">
        <f t="shared" ref="BR38" si="362">SUM(BR32:BR37)</f>
        <v>84941108</v>
      </c>
      <c r="BS38" s="25">
        <f t="shared" ref="BS38" si="363">SUM(BS32:BS37)</f>
        <v>81024258</v>
      </c>
      <c r="BT38" s="25">
        <f t="shared" ref="BT38" si="364">SUM(BT32:BT37)</f>
        <v>9434000</v>
      </c>
      <c r="BU38" s="39" t="str">
        <f>IF(SUM(BU32:BU37)=0,"",SUM(BU32:BU37)/COUNT(BU32:BU37))</f>
        <v/>
      </c>
      <c r="BV38" s="25">
        <f>SUM(BV32:BV37)</f>
        <v>35</v>
      </c>
      <c r="BW38" s="25">
        <f t="shared" ref="BW38" si="365">SUM(BW32:BW37)</f>
        <v>121767000</v>
      </c>
      <c r="BX38" s="25">
        <f t="shared" ref="BX38" si="366">SUM(BX32:BX37)</f>
        <v>14</v>
      </c>
      <c r="BY38" s="25">
        <f t="shared" ref="BY38" si="367">SUM(BY32:BY37)</f>
        <v>62539274</v>
      </c>
      <c r="BZ38" s="25">
        <f t="shared" ref="BZ38" si="368">SUM(BZ32:BZ37)</f>
        <v>47</v>
      </c>
      <c r="CA38" s="25">
        <f t="shared" ref="CA38" si="369">SUM(CA32:CA37)</f>
        <v>144168831</v>
      </c>
      <c r="CB38" s="25">
        <f t="shared" ref="CB38" si="370">SUM(CB32:CB37)</f>
        <v>96237916</v>
      </c>
      <c r="CC38" s="25">
        <f t="shared" ref="CC38" si="371">SUM(CC32:CC37)</f>
        <v>20586000</v>
      </c>
      <c r="CD38" s="39" t="str">
        <f>IF(SUM(CD32:CD37)=0,"",SUM(CD32:CD37)/COUNT(CD32:CD37))</f>
        <v/>
      </c>
      <c r="CE38" s="25">
        <f>SUM(CE32:CE37)</f>
        <v>0</v>
      </c>
      <c r="CF38" s="25">
        <f t="shared" ref="CF38" si="372">SUM(CF32:CF37)</f>
        <v>0</v>
      </c>
      <c r="CG38" s="25">
        <f t="shared" ref="CG38" si="373">SUM(CG32:CG37)</f>
        <v>0</v>
      </c>
      <c r="CH38" s="25">
        <f t="shared" ref="CH38" si="374">SUM(CH32:CH37)</f>
        <v>0</v>
      </c>
      <c r="CI38" s="25">
        <f t="shared" ref="CI38" si="375">SUM(CI32:CI37)</f>
        <v>0</v>
      </c>
      <c r="CJ38" s="25">
        <f t="shared" ref="CJ38" si="376">SUM(CJ32:CJ37)</f>
        <v>219593000</v>
      </c>
      <c r="CK38" s="25">
        <f t="shared" ref="CK38" si="377">SUM(CK32:CK37)</f>
        <v>0</v>
      </c>
      <c r="CL38" s="25">
        <f t="shared" ref="CL38" si="378">SUM(CL32:CL37)</f>
        <v>0</v>
      </c>
      <c r="CM38" s="39" t="str">
        <f>IF(SUM(CM32:CM37)=0,"",SUM(CM32:CM37)/COUNT(CM32:CM37))</f>
        <v/>
      </c>
      <c r="CN38" s="25">
        <f>SUM(CN32:CN37)</f>
        <v>0</v>
      </c>
      <c r="CO38" s="25">
        <f t="shared" ref="CO38" si="379">SUM(CO32:CO37)</f>
        <v>0</v>
      </c>
      <c r="CP38" s="25">
        <f t="shared" ref="CP38" si="380">SUM(CP32:CP37)</f>
        <v>0</v>
      </c>
      <c r="CQ38" s="25">
        <f t="shared" ref="CQ38" si="381">SUM(CQ32:CQ37)</f>
        <v>0</v>
      </c>
      <c r="CR38" s="25">
        <f t="shared" ref="CR38" si="382">SUM(CR32:CR37)</f>
        <v>0</v>
      </c>
      <c r="CS38" s="25">
        <f t="shared" ref="CS38" si="383">SUM(CS32:CS37)</f>
        <v>229780000</v>
      </c>
      <c r="CT38" s="25">
        <f t="shared" ref="CT38" si="384">SUM(CT32:CT37)</f>
        <v>0</v>
      </c>
      <c r="CU38" s="25">
        <f t="shared" ref="CU38" si="385">SUM(CU32:CU37)</f>
        <v>0</v>
      </c>
      <c r="CV38" s="39" t="str">
        <f>IF(SUM(CV32:CV37)=0,"",SUM(CV32:CV37)/COUNT(CV32:CV37))</f>
        <v/>
      </c>
      <c r="CW38" s="25">
        <f>SUM(CW32:CW37)</f>
        <v>0</v>
      </c>
      <c r="CX38" s="25">
        <f t="shared" ref="CX38" si="386">SUM(CX32:CX37)</f>
        <v>0</v>
      </c>
      <c r="CY38" s="25">
        <f t="shared" ref="CY38" si="387">SUM(CY32:CY37)</f>
        <v>0</v>
      </c>
      <c r="CZ38" s="25">
        <f t="shared" ref="CZ38" si="388">SUM(CZ32:CZ37)</f>
        <v>0</v>
      </c>
      <c r="DA38" s="25">
        <f t="shared" ref="DA38" si="389">SUM(DA32:DA37)</f>
        <v>0</v>
      </c>
      <c r="DB38" s="25">
        <f t="shared" ref="DB38" si="390">SUM(DB32:DB37)</f>
        <v>221016000</v>
      </c>
      <c r="DC38" s="25">
        <f t="shared" ref="DC38" si="391">SUM(DC32:DC37)</f>
        <v>0</v>
      </c>
      <c r="DD38" s="25">
        <f t="shared" ref="DD38" si="392">SUM(DD32:DD37)</f>
        <v>0</v>
      </c>
      <c r="DE38" s="39" t="str">
        <f>IF(SUM(DE32:DE37)=0,"",SUM(DE32:DE37)/COUNT(DE32:DE37))</f>
        <v/>
      </c>
      <c r="DF38" s="25">
        <f>SUM(DF32:DF37)</f>
        <v>22</v>
      </c>
      <c r="DG38" s="25">
        <f t="shared" ref="DG38" si="393">SUM(DG32:DG37)</f>
        <v>76510000</v>
      </c>
      <c r="DH38" s="25">
        <f t="shared" ref="DH38" si="394">SUM(DH32:DH37)</f>
        <v>38</v>
      </c>
      <c r="DI38" s="25">
        <f t="shared" ref="DI38" si="395">SUM(DI32:DI37)</f>
        <v>79809000</v>
      </c>
      <c r="DJ38" s="25">
        <f t="shared" ref="DJ38" si="396">SUM(DJ32:DJ37)</f>
        <v>75</v>
      </c>
      <c r="DK38" s="25">
        <f t="shared" ref="DK38" si="397">SUM(DK32:DK37)</f>
        <v>217717000</v>
      </c>
      <c r="DL38" s="25">
        <f t="shared" ref="DL38" si="398">SUM(DL32:DL37)</f>
        <v>219366000</v>
      </c>
      <c r="DM38" s="25">
        <f t="shared" ref="DM38" si="399">SUM(DM32:DM37)</f>
        <v>42034000</v>
      </c>
      <c r="DN38" s="39">
        <f>IF(SUM(DN32:DN37)=0,"",SUM(DN32:DN37)/COUNT(DN32:DN37))</f>
        <v>0.19159999999999999</v>
      </c>
      <c r="DO38" s="25">
        <f>SUM(DO32:DO37)</f>
        <v>16</v>
      </c>
      <c r="DP38" s="25">
        <f t="shared" ref="DP38" si="400">SUM(DP32:DP37)</f>
        <v>25750000</v>
      </c>
      <c r="DQ38" s="25">
        <f t="shared" ref="DQ38" si="401">SUM(DQ32:DQ37)</f>
        <v>21</v>
      </c>
      <c r="DR38" s="25">
        <f t="shared" ref="DR38" si="402">SUM(DR32:DR37)</f>
        <v>126037419</v>
      </c>
      <c r="DS38" s="25">
        <f t="shared" ref="DS38" si="403">SUM(DS32:DS37)</f>
        <v>70</v>
      </c>
      <c r="DT38" s="25">
        <f t="shared" ref="DT38" si="404">SUM(DT32:DT37)</f>
        <v>117429368</v>
      </c>
      <c r="DU38" s="25">
        <f t="shared" ref="DU38" si="405">SUM(DU32:DU37)</f>
        <v>146959737</v>
      </c>
      <c r="DV38" s="25">
        <f t="shared" ref="DV38" si="406">SUM(DV32:DV37)</f>
        <v>27735308</v>
      </c>
      <c r="DW38" s="39">
        <f>IF(SUM(DW32:DW37)=0,"",SUM(DW32:DW37)/COUNT(DW32:DW37))</f>
        <v>0.18870000000000001</v>
      </c>
      <c r="DX38" s="25">
        <f>SUM(DX32:DX37)</f>
        <v>30</v>
      </c>
      <c r="DY38" s="25">
        <f t="shared" ref="DY38" si="407">SUM(DY32:DY37)</f>
        <v>97646000</v>
      </c>
      <c r="DZ38" s="25">
        <f t="shared" ref="DZ38" si="408">SUM(DZ32:DZ37)</f>
        <v>28</v>
      </c>
      <c r="EA38" s="25">
        <f t="shared" ref="EA38" si="409">SUM(EA32:EA37)</f>
        <v>83496545</v>
      </c>
      <c r="EB38" s="25">
        <f t="shared" ref="EB38" si="410">SUM(EB32:EB37)</f>
        <v>72</v>
      </c>
      <c r="EC38" s="25">
        <f t="shared" ref="EC38" si="411">SUM(EC32:EC37)</f>
        <v>131578823</v>
      </c>
      <c r="ED38" s="25">
        <f t="shared" ref="ED38" si="412">SUM(ED32:ED37)</f>
        <v>128691106</v>
      </c>
      <c r="EE38" s="25">
        <f t="shared" ref="EE38" si="413">SUM(EE32:EE37)</f>
        <v>17892672</v>
      </c>
      <c r="EF38" s="39">
        <f>IF(SUM(EF32:EF37)=0,"",SUM(EF32:EF37)/COUNT(EF32:EF37))</f>
        <v>0.13900000000000001</v>
      </c>
      <c r="EG38" s="25">
        <f>SUM(EG32:EG37)</f>
        <v>17</v>
      </c>
      <c r="EH38" s="25">
        <f t="shared" ref="EH38" si="414">SUM(EH32:EH37)</f>
        <v>57400000</v>
      </c>
      <c r="EI38" s="25">
        <f t="shared" ref="EI38" si="415">SUM(EI32:EI37)</f>
        <v>23</v>
      </c>
      <c r="EJ38" s="25">
        <f t="shared" ref="EJ38" si="416">SUM(EJ32:EJ37)</f>
        <v>75996783</v>
      </c>
      <c r="EK38" s="25">
        <f t="shared" ref="EK38" si="417">SUM(EK32:EK37)</f>
        <v>66</v>
      </c>
      <c r="EL38" s="25">
        <f t="shared" ref="EL38" si="418">SUM(EL32:EL37)</f>
        <v>112982040</v>
      </c>
      <c r="EM38" s="25">
        <f t="shared" ref="EM38" si="419">SUM(EM32:EM37)</f>
        <v>116995386</v>
      </c>
      <c r="EN38" s="25">
        <f t="shared" ref="EN38" si="420">SUM(EN32:EN37)</f>
        <v>14745615</v>
      </c>
      <c r="EO38" s="39">
        <f>IF(SUM(EO32:EO37)=0,"",SUM(EO32:EO37)/COUNT(EO32:EO37))</f>
        <v>0.126</v>
      </c>
      <c r="EP38" s="25">
        <f>SUM(EP32:EP37)</f>
        <v>21</v>
      </c>
      <c r="EQ38" s="25">
        <f t="shared" ref="EQ38" si="421">SUM(EQ32:EQ37)</f>
        <v>100802883</v>
      </c>
      <c r="ER38" s="25">
        <f t="shared" ref="ER38" si="422">SUM(ER32:ER37)</f>
        <v>23</v>
      </c>
      <c r="ES38" s="25">
        <f t="shared" ref="ES38" si="423">SUM(ES32:ES37)</f>
        <v>60637911</v>
      </c>
      <c r="ET38" s="25">
        <f t="shared" ref="ET38" si="424">SUM(ET32:ET37)</f>
        <v>64</v>
      </c>
      <c r="EU38" s="25">
        <f t="shared" ref="EU38" si="425">SUM(EU32:EU37)</f>
        <v>153147012</v>
      </c>
      <c r="EV38" s="25">
        <f t="shared" ref="EV38" si="426">SUM(EV32:EV37)</f>
        <v>114464284</v>
      </c>
      <c r="EW38" s="25">
        <f t="shared" ref="EW38" si="427">SUM(EW32:EW37)</f>
        <v>14556588</v>
      </c>
      <c r="EX38" s="39">
        <f>IF(SUM(EX32:EX37)=0,"",SUM(EX32:EX37)/COUNT(EX32:EX37))</f>
        <v>0.12709999999999999</v>
      </c>
      <c r="EY38" s="25">
        <f>SUM(EY32:EY37)</f>
        <v>24</v>
      </c>
      <c r="EZ38" s="25">
        <f t="shared" ref="EZ38" si="428">SUM(EZ32:EZ37)</f>
        <v>128057148</v>
      </c>
      <c r="FA38" s="25">
        <f t="shared" ref="FA38" si="429">SUM(FA32:FA37)</f>
        <v>31</v>
      </c>
      <c r="FB38" s="25">
        <f t="shared" ref="FB38" si="430">SUM(FB32:FB37)</f>
        <v>135482441</v>
      </c>
      <c r="FC38" s="25">
        <f t="shared" ref="FC38" si="431">SUM(FC32:FC37)</f>
        <v>57</v>
      </c>
      <c r="FD38" s="25">
        <f t="shared" ref="FD38" si="432">SUM(FD32:FD37)</f>
        <v>145721719</v>
      </c>
      <c r="FE38" s="25">
        <f t="shared" ref="FE38" si="433">SUM(FE32:FE37)</f>
        <v>146920305</v>
      </c>
      <c r="FF38" s="25">
        <f t="shared" ref="FF38" si="434">SUM(FF32:FF37)</f>
        <v>21673178</v>
      </c>
      <c r="FG38" s="39">
        <f>IF(SUM(FG32:FG37)=0,"",SUM(FG32:FG37)/COUNT(FG32:FG37))</f>
        <v>0.14749999999999999</v>
      </c>
      <c r="FH38" s="25">
        <f>SUM(FH32:FH37)</f>
        <v>17</v>
      </c>
      <c r="FI38" s="25">
        <f t="shared" ref="FI38" si="435">SUM(FI32:FI37)</f>
        <v>113650000</v>
      </c>
      <c r="FJ38" s="25">
        <f t="shared" ref="FJ38" si="436">SUM(FJ32:FJ37)</f>
        <v>24</v>
      </c>
      <c r="FK38" s="25">
        <f t="shared" ref="FK38" si="437">SUM(FK32:FK37)</f>
        <v>64796377</v>
      </c>
      <c r="FL38" s="25">
        <f t="shared" ref="FL38" si="438">SUM(FL32:FL37)</f>
        <v>50</v>
      </c>
      <c r="FM38" s="25">
        <f t="shared" ref="FM38" si="439">SUM(FM32:FM37)</f>
        <v>202896428</v>
      </c>
      <c r="FN38" s="25">
        <f t="shared" ref="FN38" si="440">SUM(FN32:FN37)</f>
        <v>162869023</v>
      </c>
      <c r="FO38" s="25">
        <f t="shared" ref="FO38" si="441">SUM(FO32:FO37)</f>
        <v>21424658</v>
      </c>
      <c r="FP38" s="39">
        <f>IF(SUM(FP32:FP37)=0,"",SUM(FP32:FP37)/COUNT(FP32:FP37))</f>
        <v>0.13150000000000001</v>
      </c>
      <c r="FQ38" s="25">
        <f>SUM(FQ32:FQ37)</f>
        <v>30</v>
      </c>
      <c r="FR38" s="25">
        <f t="shared" ref="FR38" si="442">SUM(FR32:FR37)</f>
        <v>296043370</v>
      </c>
      <c r="FS38" s="25">
        <f t="shared" ref="FS38" si="443">SUM(FS32:FS37)</f>
        <v>25</v>
      </c>
      <c r="FT38" s="25">
        <f t="shared" ref="FT38" si="444">SUM(FT32:FT37)</f>
        <v>189725785</v>
      </c>
      <c r="FU38" s="25">
        <f t="shared" ref="FU38" si="445">SUM(FU32:FU37)</f>
        <v>55</v>
      </c>
      <c r="FV38" s="25">
        <f t="shared" ref="FV38" si="446">SUM(FV32:FV37)</f>
        <v>309214013</v>
      </c>
      <c r="FW38" s="25">
        <f t="shared" ref="FW38" si="447">SUM(FW32:FW37)</f>
        <v>238327529</v>
      </c>
      <c r="FX38" s="25">
        <f t="shared" ref="FX38" si="448">SUM(FX32:FX37)</f>
        <v>29620273</v>
      </c>
      <c r="FY38" s="39">
        <f>IF(SUM(FY32:FY37)=0,"",SUM(FY32:FY37)/COUNT(FY32:FY37))</f>
        <v>0.12429999999999999</v>
      </c>
      <c r="FZ38" s="25">
        <f>SUM(FZ32:FZ37)</f>
        <v>60</v>
      </c>
      <c r="GA38" s="25">
        <f t="shared" ref="GA38" si="449">SUM(GA32:GA37)</f>
        <v>532407330</v>
      </c>
      <c r="GB38" s="25">
        <f t="shared" ref="GB38" si="450">SUM(GB32:GB37)</f>
        <v>42</v>
      </c>
      <c r="GC38" s="25">
        <f t="shared" ref="GC38" si="451">SUM(GC32:GC37)</f>
        <v>353746672</v>
      </c>
      <c r="GD38" s="25">
        <f t="shared" ref="GD38" si="452">SUM(GD32:GD37)</f>
        <v>73</v>
      </c>
      <c r="GE38" s="25">
        <f t="shared" ref="GE38" si="453">SUM(GE32:GE37)</f>
        <v>487874671</v>
      </c>
      <c r="GF38" s="25">
        <f t="shared" ref="GF38" si="454">SUM(GF32:GF37)</f>
        <v>353729924</v>
      </c>
      <c r="GG38" s="25">
        <f t="shared" ref="GG38" si="455">SUM(GG32:GG37)</f>
        <v>46006138</v>
      </c>
      <c r="GH38" s="39">
        <f>IF(SUM(GH32:GH37)=0,"",SUM(GH32:GH37)/COUNT(GH32:GH37))</f>
        <v>0.13009999999999999</v>
      </c>
      <c r="GI38" s="25">
        <f>SUM(GI32:GI37)</f>
        <v>61</v>
      </c>
      <c r="GJ38" s="25">
        <f t="shared" ref="GJ38" si="456">SUM(GJ32:GJ37)</f>
        <v>549659173</v>
      </c>
      <c r="GK38" s="25">
        <f t="shared" ref="GK38" si="457">SUM(GK32:GK37)</f>
        <v>44</v>
      </c>
      <c r="GL38" s="25">
        <f t="shared" ref="GL38" si="458">SUM(GL32:GL37)</f>
        <v>432846430</v>
      </c>
      <c r="GM38" s="25">
        <f t="shared" ref="GM38" si="459">SUM(GM32:GM37)</f>
        <v>90</v>
      </c>
      <c r="GN38" s="25">
        <f t="shared" ref="GN38" si="460">SUM(GN32:GN37)</f>
        <v>604687414</v>
      </c>
      <c r="GO38" s="25">
        <f t="shared" ref="GO38" si="461">SUM(GO32:GO37)</f>
        <v>474143378</v>
      </c>
      <c r="GP38" s="25">
        <f t="shared" ref="GP38" si="462">SUM(GP32:GP37)</f>
        <v>63233396</v>
      </c>
      <c r="GQ38" s="39">
        <f>IF(SUM(GQ32:GQ37)=0,"",SUM(GQ32:GQ37)/COUNT(GQ32:GQ37))</f>
        <v>0.13339999999999999</v>
      </c>
      <c r="GR38" s="25">
        <f>SUM(GR32:GR37)</f>
        <v>57</v>
      </c>
      <c r="GS38" s="25">
        <f t="shared" ref="GS38" si="463">SUM(GS32:GS37)</f>
        <v>554695980</v>
      </c>
      <c r="GT38" s="25">
        <f t="shared" ref="GT38" si="464">SUM(GT32:GT37)</f>
        <v>51</v>
      </c>
      <c r="GU38" s="25">
        <f t="shared" ref="GU38" si="465">SUM(GU32:GU37)</f>
        <v>538465317</v>
      </c>
      <c r="GV38" s="25">
        <f t="shared" ref="GV38" si="466">SUM(GV32:GV37)</f>
        <v>96</v>
      </c>
      <c r="GW38" s="25">
        <f t="shared" ref="GW38" si="467">SUM(GW32:GW37)</f>
        <v>620918077</v>
      </c>
      <c r="GX38" s="25">
        <f t="shared" ref="GX38" si="468">SUM(GX32:GX37)</f>
        <v>591284274</v>
      </c>
      <c r="GY38" s="25">
        <f t="shared" ref="GY38" si="469">SUM(GY32:GY37)</f>
        <v>84272039</v>
      </c>
      <c r="GZ38" s="39">
        <f>IF(SUM(GZ32:GZ37)=0,"",SUM(GZ32:GZ37)/COUNT(GZ32:GZ37))</f>
        <v>0.14249999999999999</v>
      </c>
      <c r="HA38" s="25">
        <f>SUM(HA32:HA37)</f>
        <v>60</v>
      </c>
      <c r="HB38" s="25">
        <f t="shared" ref="HB38" si="470">SUM(HB32:HB37)</f>
        <v>494607561</v>
      </c>
      <c r="HC38" s="25">
        <f t="shared" ref="HC38" si="471">SUM(HC32:HC37)</f>
        <v>54</v>
      </c>
      <c r="HD38" s="25">
        <f t="shared" ref="HD38" si="472">SUM(HD32:HD37)</f>
        <v>481641038</v>
      </c>
      <c r="HE38" s="25">
        <f t="shared" ref="HE38" si="473">SUM(HE32:HE37)</f>
        <v>102</v>
      </c>
      <c r="HF38" s="25">
        <f t="shared" ref="HF38" si="474">SUM(HF32:HF37)</f>
        <v>633884600</v>
      </c>
      <c r="HG38" s="25">
        <f t="shared" ref="HG38" si="475">SUM(HG32:HG37)</f>
        <v>596202018</v>
      </c>
      <c r="HH38" s="25">
        <f t="shared" ref="HH38" si="476">SUM(HH32:HH37)</f>
        <v>76923049</v>
      </c>
      <c r="HI38" s="39">
        <f>IF(SUM(HI32:HI37)=0,"",SUM(HI32:HI37)/COUNT(HI32:HI37))</f>
        <v>0.129</v>
      </c>
      <c r="HJ38" s="25">
        <f>SUM(HJ32:HJ37)</f>
        <v>45</v>
      </c>
      <c r="HK38" s="25">
        <f t="shared" ref="HK38:HQ38" si="477">SUM(HK32:HK37)</f>
        <v>412050000</v>
      </c>
      <c r="HL38" s="25">
        <f t="shared" si="477"/>
        <v>36</v>
      </c>
      <c r="HM38" s="25">
        <f t="shared" si="477"/>
        <v>347419016</v>
      </c>
      <c r="HN38" s="25">
        <f t="shared" si="477"/>
        <v>111</v>
      </c>
      <c r="HO38" s="25">
        <f t="shared" si="477"/>
        <v>698515584</v>
      </c>
      <c r="HP38" s="25">
        <f t="shared" si="477"/>
        <v>646493483</v>
      </c>
      <c r="HQ38" s="25">
        <f t="shared" si="477"/>
        <v>92513663</v>
      </c>
      <c r="HR38" s="39">
        <f>IF(SUM(HR32:HR37)=0,"",SUM(HR32:HR37)/COUNT(HR32:HR37))</f>
        <v>0.1431</v>
      </c>
      <c r="HS38" s="25">
        <f>SUM(HS32:HS37)</f>
        <v>33</v>
      </c>
      <c r="HT38" s="25">
        <f>SUM(HT32:HT37)</f>
        <v>306805876</v>
      </c>
      <c r="HU38" s="25">
        <f t="shared" ref="HU38:HZ38" si="478">SUM(HU32:HU37)</f>
        <v>45</v>
      </c>
      <c r="HV38" s="25">
        <f t="shared" si="478"/>
        <v>402055933</v>
      </c>
      <c r="HW38" s="25">
        <f t="shared" si="478"/>
        <v>101</v>
      </c>
      <c r="HX38" s="25">
        <f t="shared" si="478"/>
        <v>603265527</v>
      </c>
      <c r="HY38" s="25">
        <f t="shared" si="478"/>
        <v>677687163</v>
      </c>
      <c r="HZ38" s="25">
        <f t="shared" si="478"/>
        <v>92551602</v>
      </c>
      <c r="IA38" s="39">
        <f>IF(SUM(IA32:IA37)=0,"",SUM(IA32:IA37)/COUNT(IA32:IA37))</f>
        <v>0.13563333333333336</v>
      </c>
      <c r="IB38" s="25">
        <f>SUM(IB32:IB37)</f>
        <v>59</v>
      </c>
      <c r="IC38" s="25">
        <f t="shared" ref="IC38:II38" si="479">SUM(IC32:IC37)</f>
        <v>598440100</v>
      </c>
      <c r="ID38" s="25">
        <f t="shared" si="479"/>
        <v>43</v>
      </c>
      <c r="IE38" s="25">
        <f t="shared" si="479"/>
        <v>483272852</v>
      </c>
      <c r="IF38" s="25">
        <f t="shared" si="479"/>
        <v>117</v>
      </c>
      <c r="IG38" s="25">
        <f t="shared" si="479"/>
        <v>718432775</v>
      </c>
      <c r="IH38" s="25">
        <f t="shared" si="479"/>
        <v>702073095</v>
      </c>
      <c r="II38" s="25">
        <f t="shared" si="479"/>
        <v>93128871</v>
      </c>
      <c r="IJ38" s="39">
        <f>IF(SUM(IJ32:IJ37)=0,"",SUM(IJ32:IJ37)/COUNT(IJ32:IJ37))</f>
        <v>0.13059999999999999</v>
      </c>
      <c r="IK38" s="25">
        <f>SUM(IK32:IK37)</f>
        <v>46</v>
      </c>
      <c r="IL38" s="25">
        <f t="shared" ref="IL38:IR38" si="480">SUM(IL32:IL37)</f>
        <v>410450000</v>
      </c>
      <c r="IM38" s="25">
        <f t="shared" si="480"/>
        <v>25</v>
      </c>
      <c r="IN38" s="25">
        <f t="shared" si="480"/>
        <v>393260706</v>
      </c>
      <c r="IO38" s="25">
        <f t="shared" si="480"/>
        <v>138</v>
      </c>
      <c r="IP38" s="25">
        <f t="shared" si="480"/>
        <v>735622069</v>
      </c>
      <c r="IQ38" s="25">
        <f t="shared" si="480"/>
        <v>702522475</v>
      </c>
      <c r="IR38" s="25">
        <f t="shared" si="480"/>
        <v>92905927</v>
      </c>
      <c r="IS38" s="39">
        <f>IF(SUM(IS32:IS37)=0,"",SUM(IS32:IS37)/COUNT(IS32:IS37))</f>
        <v>0.12996666666666667</v>
      </c>
      <c r="IT38" s="25">
        <f>SUM(IT32:IT37)</f>
        <v>59</v>
      </c>
      <c r="IU38" s="25">
        <f t="shared" ref="IU38:JA38" si="481">SUM(IU32:IU37)</f>
        <v>449000000</v>
      </c>
      <c r="IV38" s="25">
        <f t="shared" si="481"/>
        <v>68</v>
      </c>
      <c r="IW38" s="25">
        <f t="shared" si="481"/>
        <v>519338002</v>
      </c>
      <c r="IX38" s="25">
        <f t="shared" si="481"/>
        <v>129</v>
      </c>
      <c r="IY38" s="25">
        <f t="shared" si="481"/>
        <v>665284067</v>
      </c>
      <c r="IZ38" s="25">
        <f t="shared" si="481"/>
        <v>699638534</v>
      </c>
      <c r="JA38" s="25">
        <f t="shared" si="481"/>
        <v>92683033</v>
      </c>
      <c r="JB38" s="39">
        <f>IF(SUM(JB32:JB37)=0,"",SUM(JB32:JB37)/COUNT(JB32:JB37))</f>
        <v>0.12863333333333332</v>
      </c>
      <c r="JC38" s="25">
        <f>SUM(JC32:JC37)</f>
        <v>75</v>
      </c>
      <c r="JD38" s="25">
        <f t="shared" ref="JD38:JJ38" si="482">SUM(JD32:JD37)</f>
        <v>567640000</v>
      </c>
      <c r="JE38" s="25">
        <f t="shared" si="482"/>
        <v>61</v>
      </c>
      <c r="JF38" s="25">
        <f t="shared" si="482"/>
        <v>434116971</v>
      </c>
      <c r="JG38" s="25">
        <f t="shared" si="482"/>
        <v>143</v>
      </c>
      <c r="JH38" s="25">
        <f t="shared" si="482"/>
        <v>798807096</v>
      </c>
      <c r="JI38" s="25">
        <f t="shared" si="482"/>
        <v>723482514</v>
      </c>
      <c r="JJ38" s="25">
        <f t="shared" si="482"/>
        <v>90277973</v>
      </c>
      <c r="JK38" s="39">
        <f>IF(SUM(JK32:JK37)=0,"",SUM(JK32:JK37)/COUNT(JK32:JK37))</f>
        <v>0.12196666666666667</v>
      </c>
      <c r="JL38" s="25">
        <f>SUM(JL32:JL37)</f>
        <v>73</v>
      </c>
      <c r="JM38" s="25">
        <f t="shared" ref="JM38:JS38" si="483">SUM(JM32:JM37)</f>
        <v>525550000</v>
      </c>
      <c r="JN38" s="25">
        <f t="shared" si="483"/>
        <v>57</v>
      </c>
      <c r="JO38" s="25">
        <f t="shared" si="483"/>
        <v>423316774</v>
      </c>
      <c r="JP38" s="25">
        <f t="shared" si="483"/>
        <v>159</v>
      </c>
      <c r="JQ38" s="25">
        <f t="shared" si="483"/>
        <v>901040322</v>
      </c>
      <c r="JR38" s="25">
        <f t="shared" si="483"/>
        <v>844707343</v>
      </c>
      <c r="JS38" s="25">
        <f t="shared" si="483"/>
        <v>83665675</v>
      </c>
      <c r="JT38" s="39">
        <f>IF(SUM(JT32:JT37)=0,"",SUM(JT32:JT37)/COUNT(JT32:JT37))</f>
        <v>0.1069</v>
      </c>
      <c r="JU38" s="25">
        <f>SUM(JU32:JU37)</f>
        <v>95</v>
      </c>
      <c r="JV38" s="25">
        <f t="shared" ref="JV38:KB38" si="484">SUM(JV32:JV37)</f>
        <v>609600000</v>
      </c>
      <c r="JW38" s="25">
        <f t="shared" si="484"/>
        <v>62</v>
      </c>
      <c r="JX38" s="25">
        <f t="shared" si="484"/>
        <v>401267907</v>
      </c>
      <c r="JY38" s="25">
        <f t="shared" si="484"/>
        <v>192</v>
      </c>
      <c r="JZ38" s="25">
        <f t="shared" si="484"/>
        <v>1109372415</v>
      </c>
      <c r="KA38" s="25">
        <f t="shared" si="484"/>
        <v>942774558</v>
      </c>
      <c r="KB38" s="25">
        <f t="shared" si="484"/>
        <v>101622400</v>
      </c>
      <c r="KC38" s="39">
        <f>IF(SUM(KC32:KC37)=0,"",SUM(KC32:KC37)/COUNT(KC32:KC37))</f>
        <v>0.11466666666666665</v>
      </c>
      <c r="KD38" s="25">
        <f>SUM(KD32:KD37)</f>
        <v>84</v>
      </c>
      <c r="KE38" s="25">
        <f t="shared" ref="KE38:KK38" si="485">SUM(KE32:KE37)</f>
        <v>539224282</v>
      </c>
      <c r="KF38" s="25">
        <f t="shared" si="485"/>
        <v>74</v>
      </c>
      <c r="KG38" s="25">
        <f t="shared" si="485"/>
        <v>497779689</v>
      </c>
      <c r="KH38" s="25">
        <f t="shared" si="485"/>
        <v>202</v>
      </c>
      <c r="KI38" s="25">
        <f t="shared" si="485"/>
        <v>1150817008</v>
      </c>
      <c r="KJ38" s="25">
        <f t="shared" si="485"/>
        <v>1142845892</v>
      </c>
      <c r="KK38" s="25">
        <f t="shared" si="485"/>
        <v>114715143</v>
      </c>
      <c r="KL38" s="39">
        <f>IF(SUM(KL32:KL37)=0,"",SUM(KL32:KL37)/COUNT(KL32:KL37))</f>
        <v>0.11009999999999999</v>
      </c>
      <c r="KM38" s="25">
        <f>SUM(KM32:KM37)</f>
        <v>31</v>
      </c>
      <c r="KN38" s="25">
        <f t="shared" ref="KN38:KT38" si="486">SUM(KN32:KN37)</f>
        <v>219200000</v>
      </c>
      <c r="KO38" s="25">
        <f t="shared" si="486"/>
        <v>41</v>
      </c>
      <c r="KP38" s="25">
        <f t="shared" si="486"/>
        <v>316179666</v>
      </c>
      <c r="KQ38" s="25">
        <f t="shared" si="486"/>
        <v>192</v>
      </c>
      <c r="KR38" s="25">
        <f t="shared" si="486"/>
        <v>1053837342</v>
      </c>
      <c r="KS38" s="25">
        <f t="shared" si="486"/>
        <v>1095050909</v>
      </c>
      <c r="KT38" s="25">
        <f t="shared" si="486"/>
        <v>117632947</v>
      </c>
      <c r="KU38" s="39">
        <f>IF(SUM(KU32:KU37)=0,"",SUM(KU32:KU37)/COUNT(KU32:KU37))</f>
        <v>0.1361</v>
      </c>
      <c r="KV38" s="25">
        <f>SUM(KV32:KV37)</f>
        <v>17</v>
      </c>
      <c r="KW38" s="25">
        <f t="shared" ref="KW38:LC38" si="487">SUM(KW32:KW37)</f>
        <v>111050000</v>
      </c>
      <c r="KX38" s="25">
        <f t="shared" si="487"/>
        <v>27</v>
      </c>
      <c r="KY38" s="25">
        <f t="shared" si="487"/>
        <v>209250329</v>
      </c>
      <c r="KZ38" s="25">
        <f t="shared" si="487"/>
        <v>182</v>
      </c>
      <c r="LA38" s="25">
        <f t="shared" si="487"/>
        <v>955637013</v>
      </c>
      <c r="LB38" s="25">
        <f t="shared" si="487"/>
        <v>1002237898</v>
      </c>
      <c r="LC38" s="25">
        <f t="shared" si="487"/>
        <v>87941401</v>
      </c>
      <c r="LD38" s="39">
        <f>IF(SUM(LD32:LD37)=0,"",SUM(LD32:LD37)/COUNT(LD32:LD37))</f>
        <v>9.7100000000000006E-2</v>
      </c>
      <c r="LE38" s="25">
        <f>SUM(LE32:LE37)</f>
        <v>7</v>
      </c>
      <c r="LF38" s="25">
        <f t="shared" ref="LF38:LL38" si="488">SUM(LF32:LF37)</f>
        <v>50150000</v>
      </c>
      <c r="LG38" s="25">
        <f t="shared" si="488"/>
        <v>18</v>
      </c>
      <c r="LH38" s="25">
        <f t="shared" si="488"/>
        <v>136115090</v>
      </c>
      <c r="LI38" s="25">
        <f t="shared" si="488"/>
        <v>171</v>
      </c>
      <c r="LJ38" s="25">
        <f t="shared" si="488"/>
        <v>869671923</v>
      </c>
      <c r="LK38" s="25">
        <f t="shared" si="488"/>
        <v>914680049</v>
      </c>
      <c r="LL38" s="25">
        <f t="shared" si="488"/>
        <v>71739930</v>
      </c>
      <c r="LM38" s="39">
        <f>IF(SUM(LM32:LM37)=0,"",SUM(LM32:LM37)/COUNT(LM32:LM37))</f>
        <v>8.1133333333333335E-2</v>
      </c>
      <c r="LN38" s="25">
        <f>SUM(LN32:LN37)</f>
        <v>8</v>
      </c>
      <c r="LO38" s="25">
        <f t="shared" ref="LO38:LU38" si="489">SUM(LO32:LO37)</f>
        <v>55350000</v>
      </c>
      <c r="LP38" s="25">
        <f t="shared" si="489"/>
        <v>23</v>
      </c>
      <c r="LQ38" s="25">
        <f t="shared" si="489"/>
        <v>169210975</v>
      </c>
      <c r="LR38" s="25">
        <f t="shared" si="489"/>
        <v>156</v>
      </c>
      <c r="LS38" s="25">
        <f t="shared" si="489"/>
        <v>755810948</v>
      </c>
      <c r="LT38" s="25">
        <f t="shared" si="489"/>
        <v>823228224</v>
      </c>
      <c r="LU38" s="25">
        <f t="shared" si="489"/>
        <v>71392415</v>
      </c>
      <c r="LV38" s="39">
        <f>IF(SUM(LV32:LV37)=0,"",SUM(LV32:LV37)/COUNT(LV32:LV37))</f>
        <v>0.13853333333333334</v>
      </c>
      <c r="LW38" s="25">
        <f>SUM(LW32:LW37)</f>
        <v>3</v>
      </c>
      <c r="LX38" s="25">
        <f t="shared" ref="LX38:MD38" si="490">SUM(LX32:LX37)</f>
        <v>15730000</v>
      </c>
      <c r="LY38" s="25">
        <f t="shared" si="490"/>
        <v>23</v>
      </c>
      <c r="LZ38" s="25">
        <f t="shared" si="490"/>
        <v>132904496</v>
      </c>
      <c r="MA38" s="25">
        <f t="shared" si="490"/>
        <v>136</v>
      </c>
      <c r="MB38" s="25">
        <f t="shared" si="490"/>
        <v>638636452</v>
      </c>
      <c r="MC38" s="25">
        <f t="shared" si="490"/>
        <v>691421854</v>
      </c>
      <c r="MD38" s="25">
        <f t="shared" si="490"/>
        <v>47911178</v>
      </c>
      <c r="ME38" s="39">
        <f>IF(SUM(ME32:ME37)=0,"",SUM(ME32:ME37)/COUNT(ME32:ME37))</f>
        <v>8.0933333333333343E-2</v>
      </c>
      <c r="MF38" s="25">
        <f>SUM(MF32:MF37)</f>
        <v>7</v>
      </c>
      <c r="MG38" s="25">
        <f t="shared" ref="MG38:MM38" si="491">SUM(MG32:MG37)</f>
        <v>26500000</v>
      </c>
      <c r="MH38" s="25">
        <f t="shared" si="491"/>
        <v>18</v>
      </c>
      <c r="MI38" s="25">
        <f t="shared" si="491"/>
        <v>112954903</v>
      </c>
      <c r="MJ38" s="25">
        <f t="shared" si="491"/>
        <v>125</v>
      </c>
      <c r="MK38" s="25">
        <f t="shared" si="491"/>
        <v>552181549</v>
      </c>
      <c r="ML38" s="25">
        <f t="shared" si="491"/>
        <v>595578177</v>
      </c>
      <c r="MM38" s="25">
        <f t="shared" si="491"/>
        <v>54632438</v>
      </c>
      <c r="MN38" s="39">
        <f>IF(SUM(MN32:MN37)=0,"",SUM(MN32:MN37)/COUNT(MN32:MN37))</f>
        <v>0.12446666666666667</v>
      </c>
      <c r="MO38" s="25">
        <f>SUM(MO32:MO37)</f>
        <v>3</v>
      </c>
      <c r="MP38" s="25">
        <f t="shared" ref="MP38:MV38" si="492">SUM(MP32:MP37)</f>
        <v>10550000</v>
      </c>
      <c r="MQ38" s="25">
        <f t="shared" si="492"/>
        <v>22</v>
      </c>
      <c r="MR38" s="25">
        <f t="shared" si="492"/>
        <v>82394078</v>
      </c>
      <c r="MS38" s="25">
        <f t="shared" si="492"/>
        <v>106</v>
      </c>
      <c r="MT38" s="25">
        <f t="shared" si="492"/>
        <v>480337471</v>
      </c>
      <c r="MU38" s="25">
        <f t="shared" si="492"/>
        <v>513402858</v>
      </c>
      <c r="MV38" s="25">
        <f t="shared" si="492"/>
        <v>37008236</v>
      </c>
      <c r="MW38" s="39">
        <f>IF(SUM(MW32:MW37)=0,"",SUM(MW32:MW37)/COUNT(MW32:MW37))</f>
        <v>9.9600000000000008E-2</v>
      </c>
      <c r="MX38" s="25">
        <f>SUM(MX32:MX37)</f>
        <v>3</v>
      </c>
      <c r="MY38" s="25">
        <f t="shared" ref="MY38:NE38" si="493">SUM(MY32:MY37)</f>
        <v>20150000</v>
      </c>
      <c r="MZ38" s="25">
        <f t="shared" si="493"/>
        <v>12</v>
      </c>
      <c r="NA38" s="25">
        <f t="shared" si="493"/>
        <v>64454158</v>
      </c>
      <c r="NB38" s="25">
        <f t="shared" si="493"/>
        <v>97</v>
      </c>
      <c r="NC38" s="25">
        <f t="shared" si="493"/>
        <v>436033313</v>
      </c>
      <c r="ND38" s="25">
        <f t="shared" si="493"/>
        <v>451163815</v>
      </c>
      <c r="NE38" s="25">
        <f t="shared" si="493"/>
        <v>30743068</v>
      </c>
      <c r="NF38" s="39">
        <f>IF(SUM(NF32:NF37)=0,"",SUM(NF32:NF37)/COUNT(NF32:NF37))</f>
        <v>0.13260000000000002</v>
      </c>
      <c r="NG38" s="25">
        <f>SUM(NG32:NG37)</f>
        <v>9</v>
      </c>
      <c r="NH38" s="25">
        <f t="shared" ref="NH38:NN38" si="494">SUM(NH32:NH37)</f>
        <v>54800000</v>
      </c>
      <c r="NI38" s="25">
        <f t="shared" si="494"/>
        <v>10</v>
      </c>
      <c r="NJ38" s="25">
        <f t="shared" si="494"/>
        <v>86242940</v>
      </c>
      <c r="NK38" s="25">
        <f t="shared" si="494"/>
        <v>96</v>
      </c>
      <c r="NL38" s="25">
        <f t="shared" si="494"/>
        <v>404590373</v>
      </c>
      <c r="NM38" s="25">
        <f t="shared" si="494"/>
        <v>415459135</v>
      </c>
      <c r="NN38" s="25">
        <f t="shared" si="494"/>
        <v>32102206</v>
      </c>
      <c r="NO38" s="39">
        <f>IF(SUM(NO32:NO37)=0,"",SUM(NO32:NO37)/COUNT(NO32:NO37))</f>
        <v>9.3299999999999994E-2</v>
      </c>
      <c r="NP38" s="25">
        <f>SUM(NP32:NP37)</f>
        <v>6</v>
      </c>
      <c r="NQ38" s="25">
        <f t="shared" ref="NQ38:NW38" si="495">SUM(NQ32:NQ37)</f>
        <v>29230000</v>
      </c>
      <c r="NR38" s="25">
        <f t="shared" si="495"/>
        <v>9</v>
      </c>
      <c r="NS38" s="25">
        <f t="shared" si="495"/>
        <v>67321341</v>
      </c>
      <c r="NT38" s="25">
        <f t="shared" si="495"/>
        <v>93</v>
      </c>
      <c r="NU38" s="25">
        <f t="shared" si="495"/>
        <v>366499032</v>
      </c>
      <c r="NV38" s="25">
        <f t="shared" si="495"/>
        <v>379867570</v>
      </c>
      <c r="NW38" s="25">
        <f t="shared" si="495"/>
        <v>24527059</v>
      </c>
      <c r="NX38" s="39">
        <f>IF(SUM(NX32:NX37)=0,"",SUM(NX32:NX37)/COUNT(NX32:NX37))</f>
        <v>8.5050000000000001E-2</v>
      </c>
      <c r="NY38" s="25">
        <f>SUM(NY32:NY37)</f>
        <v>6</v>
      </c>
      <c r="NZ38" s="25">
        <f t="shared" ref="NZ38:OF38" si="496">SUM(NZ32:NZ37)</f>
        <v>34550000</v>
      </c>
      <c r="OA38" s="25">
        <f t="shared" si="496"/>
        <v>8</v>
      </c>
      <c r="OB38" s="25">
        <f t="shared" si="496"/>
        <v>54585888</v>
      </c>
      <c r="OC38" s="25">
        <f t="shared" si="496"/>
        <v>91</v>
      </c>
      <c r="OD38" s="25">
        <f t="shared" si="496"/>
        <v>346463144</v>
      </c>
      <c r="OE38" s="25">
        <f t="shared" si="496"/>
        <v>359577244</v>
      </c>
      <c r="OF38" s="25">
        <f t="shared" si="496"/>
        <v>23493278</v>
      </c>
      <c r="OG38" s="39">
        <f>IF(SUM(OG32:OG37)=0,"",SUM(OG32:OG37)/COUNT(OG32:OG37))</f>
        <v>9.1999999999999998E-2</v>
      </c>
      <c r="OH38" s="25">
        <f>SUM(OH32:OH37)</f>
        <v>4</v>
      </c>
      <c r="OI38" s="25">
        <f t="shared" ref="OI38:OO38" si="497">SUM(OI32:OI37)</f>
        <v>28460000</v>
      </c>
      <c r="OJ38" s="25">
        <f t="shared" si="497"/>
        <v>13</v>
      </c>
      <c r="OK38" s="25">
        <f t="shared" si="497"/>
        <v>72976133</v>
      </c>
      <c r="OL38" s="25">
        <f t="shared" si="497"/>
        <v>82</v>
      </c>
      <c r="OM38" s="25">
        <f t="shared" si="497"/>
        <v>301947011</v>
      </c>
      <c r="ON38" s="25">
        <f t="shared" si="497"/>
        <v>317804498</v>
      </c>
      <c r="OO38" s="25">
        <f t="shared" si="497"/>
        <v>23696809</v>
      </c>
      <c r="OP38" s="39">
        <f>IF(SUM(OP32:OP37)=0,"",SUM(OP32:OP37)/COUNT(OP32:OP37))</f>
        <v>0.10924999999999999</v>
      </c>
      <c r="OQ38" s="25">
        <f>SUM(OQ32:OQ37)</f>
        <v>4</v>
      </c>
      <c r="OR38" s="25">
        <f t="shared" ref="OR38:OX38" si="498">SUM(OR32:OR37)</f>
        <v>26200000</v>
      </c>
      <c r="OS38" s="25">
        <f t="shared" si="498"/>
        <v>9</v>
      </c>
      <c r="OT38" s="25">
        <f t="shared" si="498"/>
        <v>51856501</v>
      </c>
      <c r="OU38" s="25">
        <f t="shared" si="498"/>
        <v>77</v>
      </c>
      <c r="OV38" s="25">
        <f t="shared" si="498"/>
        <v>276290510</v>
      </c>
      <c r="OW38" s="25">
        <f t="shared" si="498"/>
        <v>293322355</v>
      </c>
      <c r="OX38" s="25">
        <f t="shared" si="498"/>
        <v>18123545</v>
      </c>
      <c r="OY38" s="39">
        <f>IF(SUM(OY32:OY37)=0,"",SUM(OY32:OY37)/COUNT(OY32:OY37))</f>
        <v>9.7700000000000009E-2</v>
      </c>
      <c r="OZ38" s="27">
        <f>SUM(OZ32:OZ37)</f>
        <v>0</v>
      </c>
      <c r="PA38" s="27">
        <f t="shared" ref="PA38:PG38" si="499">SUM(PA32:PA37)</f>
        <v>0</v>
      </c>
      <c r="PB38" s="27">
        <f t="shared" si="499"/>
        <v>0</v>
      </c>
      <c r="PC38" s="27">
        <f t="shared" si="499"/>
        <v>0</v>
      </c>
      <c r="PD38" s="27">
        <f t="shared" si="499"/>
        <v>0</v>
      </c>
      <c r="PE38" s="27">
        <f t="shared" si="499"/>
        <v>0</v>
      </c>
      <c r="PF38" s="27">
        <f t="shared" si="499"/>
        <v>0</v>
      </c>
      <c r="PG38" s="27">
        <f t="shared" si="499"/>
        <v>0</v>
      </c>
      <c r="PH38" s="28" t="str">
        <f>IF(SUM(PH32:PH37)=0,"",SUM(PH32:PH37)/COUNT(PH32:PH37))</f>
        <v/>
      </c>
    </row>
    <row r="39" spans="1:424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  <c r="K39" s="24"/>
      <c r="L39" s="24"/>
      <c r="M39" s="24"/>
      <c r="N39" s="24"/>
      <c r="O39" s="24"/>
      <c r="P39" s="24"/>
      <c r="Q39" s="24"/>
      <c r="R39" s="24"/>
      <c r="S39" s="38"/>
      <c r="T39" s="24"/>
      <c r="U39" s="24"/>
      <c r="V39" s="24"/>
      <c r="W39" s="24"/>
      <c r="X39" s="24"/>
      <c r="Y39" s="24"/>
      <c r="Z39" s="24"/>
      <c r="AA39" s="24"/>
      <c r="AB39" s="38"/>
      <c r="AC39" s="24"/>
      <c r="AD39" s="24"/>
      <c r="AE39" s="24"/>
      <c r="AF39" s="24"/>
      <c r="AG39" s="24">
        <v>1</v>
      </c>
      <c r="AH39" s="24">
        <v>840000</v>
      </c>
      <c r="AI39" s="24"/>
      <c r="AJ39" s="24"/>
      <c r="AK39" s="38"/>
      <c r="AL39" s="24">
        <v>12</v>
      </c>
      <c r="AM39" s="24">
        <v>12000000</v>
      </c>
      <c r="AN39" s="24"/>
      <c r="AO39" s="24">
        <v>899000</v>
      </c>
      <c r="AP39" s="24"/>
      <c r="AQ39" s="24">
        <v>11941000</v>
      </c>
      <c r="AR39" s="24">
        <v>10500000</v>
      </c>
      <c r="AS39" s="24">
        <v>966000</v>
      </c>
      <c r="AT39" s="38">
        <v>9.1999999999999998E-2</v>
      </c>
      <c r="AU39" s="24">
        <v>1</v>
      </c>
      <c r="AV39" s="24">
        <v>600000</v>
      </c>
      <c r="AW39" s="24"/>
      <c r="AX39" s="24">
        <v>142796</v>
      </c>
      <c r="AY39" s="24">
        <v>2</v>
      </c>
      <c r="AZ39" s="24">
        <v>1297204</v>
      </c>
      <c r="BA39" s="24">
        <v>1359931</v>
      </c>
      <c r="BB39" s="24">
        <v>136000</v>
      </c>
      <c r="BC39" s="38"/>
      <c r="BD39" s="24">
        <v>1</v>
      </c>
      <c r="BE39" s="24">
        <v>1800000</v>
      </c>
      <c r="BF39" s="24"/>
      <c r="BG39" s="24">
        <v>181103</v>
      </c>
      <c r="BH39" s="24">
        <v>3</v>
      </c>
      <c r="BI39" s="24">
        <v>2916101</v>
      </c>
      <c r="BJ39" s="24">
        <v>17821945</v>
      </c>
      <c r="BK39" s="24">
        <v>175000</v>
      </c>
      <c r="BL39" s="38"/>
      <c r="BM39" s="24"/>
      <c r="BN39" s="24"/>
      <c r="BO39" s="24"/>
      <c r="BP39" s="24">
        <v>242280</v>
      </c>
      <c r="BQ39" s="24">
        <v>3</v>
      </c>
      <c r="BR39" s="24">
        <v>2627343</v>
      </c>
      <c r="BS39" s="24">
        <v>2748715</v>
      </c>
      <c r="BT39" s="24">
        <v>247000</v>
      </c>
      <c r="BU39" s="38"/>
      <c r="BV39" s="24">
        <v>3</v>
      </c>
      <c r="BW39" s="24">
        <v>3300000</v>
      </c>
      <c r="BX39" s="24"/>
      <c r="BY39" s="24">
        <v>751158</v>
      </c>
      <c r="BZ39" s="24">
        <v>6</v>
      </c>
      <c r="CA39" s="24">
        <v>5176185</v>
      </c>
      <c r="CB39" s="24">
        <v>4954750</v>
      </c>
      <c r="CC39" s="24">
        <v>366000</v>
      </c>
      <c r="CD39" s="38"/>
      <c r="CE39" s="24"/>
      <c r="CF39" s="24"/>
      <c r="CG39" s="24"/>
      <c r="CH39" s="24"/>
      <c r="CI39" s="24"/>
      <c r="CJ39" s="24">
        <v>9951000</v>
      </c>
      <c r="CK39" s="24"/>
      <c r="CL39" s="24"/>
      <c r="CM39" s="38"/>
      <c r="CN39" s="24"/>
      <c r="CO39" s="24"/>
      <c r="CP39" s="24"/>
      <c r="CQ39" s="24"/>
      <c r="CR39" s="24"/>
      <c r="CS39" s="24">
        <v>11428000</v>
      </c>
      <c r="CT39" s="24"/>
      <c r="CU39" s="24"/>
      <c r="CV39" s="38"/>
      <c r="CW39" s="24"/>
      <c r="CX39" s="24"/>
      <c r="CY39" s="24"/>
      <c r="CZ39" s="24"/>
      <c r="DA39" s="24"/>
      <c r="DB39" s="24">
        <v>11730000</v>
      </c>
      <c r="DC39" s="24"/>
      <c r="DD39" s="24"/>
      <c r="DE39" s="38"/>
      <c r="DF39" s="24">
        <v>119</v>
      </c>
      <c r="DG39" s="24">
        <v>43400000</v>
      </c>
      <c r="DH39" s="24">
        <v>40</v>
      </c>
      <c r="DI39" s="24">
        <v>24296000</v>
      </c>
      <c r="DJ39" s="24">
        <v>146</v>
      </c>
      <c r="DK39" s="24">
        <v>50244000</v>
      </c>
      <c r="DL39" s="24">
        <v>40692000</v>
      </c>
      <c r="DM39" s="24">
        <v>5898000</v>
      </c>
      <c r="DN39" s="38">
        <v>0.1449</v>
      </c>
      <c r="DO39" s="24">
        <v>169</v>
      </c>
      <c r="DP39" s="24">
        <v>88214000</v>
      </c>
      <c r="DQ39" s="24">
        <v>101</v>
      </c>
      <c r="DR39" s="24">
        <v>44562440</v>
      </c>
      <c r="DS39" s="24">
        <v>214</v>
      </c>
      <c r="DT39" s="24">
        <v>93896006</v>
      </c>
      <c r="DU39" s="24">
        <v>66067877</v>
      </c>
      <c r="DV39" s="24">
        <v>9334273</v>
      </c>
      <c r="DW39" s="38">
        <v>0.14119999999999999</v>
      </c>
      <c r="DX39" s="24">
        <v>180</v>
      </c>
      <c r="DY39" s="24">
        <v>118396898</v>
      </c>
      <c r="DZ39" s="24">
        <v>126</v>
      </c>
      <c r="EA39" s="24">
        <v>78805292</v>
      </c>
      <c r="EB39" s="24">
        <v>268</v>
      </c>
      <c r="EC39" s="24">
        <v>133487612</v>
      </c>
      <c r="ED39" s="24">
        <v>104077450</v>
      </c>
      <c r="EE39" s="24">
        <v>14524639</v>
      </c>
      <c r="EF39" s="38">
        <v>0.1396</v>
      </c>
      <c r="EG39" s="24">
        <v>279</v>
      </c>
      <c r="EH39" s="24">
        <v>235889239</v>
      </c>
      <c r="EI39" s="24">
        <v>162</v>
      </c>
      <c r="EJ39" s="24">
        <v>121430528</v>
      </c>
      <c r="EK39" s="24">
        <v>385</v>
      </c>
      <c r="EL39" s="24">
        <v>247946323</v>
      </c>
      <c r="EM39" s="24">
        <v>182390479</v>
      </c>
      <c r="EN39" s="24">
        <v>25857666</v>
      </c>
      <c r="EO39" s="38">
        <v>0.14169999999999999</v>
      </c>
      <c r="EP39" s="24">
        <v>186</v>
      </c>
      <c r="EQ39" s="24">
        <v>153086368</v>
      </c>
      <c r="ER39" s="24">
        <v>193</v>
      </c>
      <c r="ES39" s="24">
        <v>151887153</v>
      </c>
      <c r="ET39" s="24">
        <v>378</v>
      </c>
      <c r="EU39" s="24">
        <v>249162538</v>
      </c>
      <c r="EV39" s="24">
        <v>255607371</v>
      </c>
      <c r="EW39" s="24">
        <v>31913924</v>
      </c>
      <c r="EX39" s="38">
        <v>0.1245</v>
      </c>
      <c r="EY39" s="24">
        <v>192</v>
      </c>
      <c r="EZ39" s="24">
        <v>196991049</v>
      </c>
      <c r="FA39" s="24">
        <v>220</v>
      </c>
      <c r="FB39" s="24">
        <v>168790657</v>
      </c>
      <c r="FC39" s="24">
        <v>350</v>
      </c>
      <c r="FD39" s="24">
        <v>277362930</v>
      </c>
      <c r="FE39" s="24">
        <v>248819302</v>
      </c>
      <c r="FF39" s="24">
        <v>33989988</v>
      </c>
      <c r="FG39" s="38">
        <v>0.1366</v>
      </c>
      <c r="FH39" s="24">
        <v>181</v>
      </c>
      <c r="FI39" s="24">
        <v>156744552</v>
      </c>
      <c r="FJ39" s="24">
        <v>180</v>
      </c>
      <c r="FK39" s="24">
        <v>160517887</v>
      </c>
      <c r="FL39" s="24">
        <v>351</v>
      </c>
      <c r="FM39" s="24">
        <v>275044827</v>
      </c>
      <c r="FN39" s="24">
        <v>267821734</v>
      </c>
      <c r="FO39" s="24">
        <v>35045755</v>
      </c>
      <c r="FP39" s="38">
        <v>0.1308</v>
      </c>
      <c r="FQ39" s="24">
        <v>119</v>
      </c>
      <c r="FR39" s="24">
        <v>96554050</v>
      </c>
      <c r="FS39" s="24">
        <v>171</v>
      </c>
      <c r="FT39" s="24">
        <v>142351192</v>
      </c>
      <c r="FU39" s="24">
        <v>299</v>
      </c>
      <c r="FV39" s="24">
        <v>229247685</v>
      </c>
      <c r="FW39" s="24">
        <v>254121394</v>
      </c>
      <c r="FX39" s="24">
        <v>32719957</v>
      </c>
      <c r="FY39" s="38">
        <v>0.1288</v>
      </c>
      <c r="FZ39" s="24">
        <v>79</v>
      </c>
      <c r="GA39" s="24">
        <v>60715238</v>
      </c>
      <c r="GB39" s="24">
        <v>136</v>
      </c>
      <c r="GC39" s="24">
        <v>112951336</v>
      </c>
      <c r="GD39" s="24">
        <v>242</v>
      </c>
      <c r="GE39" s="24">
        <v>177011587</v>
      </c>
      <c r="GF39" s="24">
        <v>197988457</v>
      </c>
      <c r="GG39" s="24">
        <v>26866741</v>
      </c>
      <c r="GH39" s="38">
        <v>0.13569999999999999</v>
      </c>
      <c r="GI39" s="24">
        <v>100</v>
      </c>
      <c r="GJ39" s="24">
        <v>103161576</v>
      </c>
      <c r="GK39" s="24">
        <v>114</v>
      </c>
      <c r="GL39" s="24">
        <v>110738899</v>
      </c>
      <c r="GM39" s="24">
        <v>228</v>
      </c>
      <c r="GN39" s="24">
        <v>169434264</v>
      </c>
      <c r="GO39" s="24">
        <v>161528361</v>
      </c>
      <c r="GP39" s="24">
        <v>20621710</v>
      </c>
      <c r="GQ39" s="38">
        <v>0.12770000000000001</v>
      </c>
      <c r="GR39" s="24">
        <v>77</v>
      </c>
      <c r="GS39" s="24">
        <v>58318027</v>
      </c>
      <c r="GT39" s="24">
        <v>113</v>
      </c>
      <c r="GU39" s="24">
        <v>85812536</v>
      </c>
      <c r="GV39" s="24">
        <v>192</v>
      </c>
      <c r="GW39" s="24">
        <v>141939755</v>
      </c>
      <c r="GX39" s="24">
        <v>155665443</v>
      </c>
      <c r="GY39" s="24">
        <v>18988968</v>
      </c>
      <c r="GZ39" s="38">
        <v>0.122</v>
      </c>
      <c r="HA39" s="24">
        <v>161</v>
      </c>
      <c r="HB39" s="24">
        <v>110781875</v>
      </c>
      <c r="HC39" s="24">
        <v>116</v>
      </c>
      <c r="HD39" s="24">
        <v>80570632</v>
      </c>
      <c r="HE39" s="24">
        <v>237</v>
      </c>
      <c r="HF39" s="24">
        <v>172150998</v>
      </c>
      <c r="HG39" s="24">
        <v>153299482</v>
      </c>
      <c r="HH39" s="24">
        <v>16253146</v>
      </c>
      <c r="HI39" s="38">
        <v>0.106</v>
      </c>
      <c r="HJ39" s="24">
        <v>152</v>
      </c>
      <c r="HK39" s="24">
        <v>108423886</v>
      </c>
      <c r="HL39" s="24">
        <v>110</v>
      </c>
      <c r="HM39" s="24">
        <v>89805552</v>
      </c>
      <c r="HN39" s="24">
        <v>279</v>
      </c>
      <c r="HO39" s="24">
        <v>190769332</v>
      </c>
      <c r="HP39" s="24">
        <v>172178702</v>
      </c>
      <c r="HQ39" s="24">
        <v>17742035</v>
      </c>
      <c r="HR39" s="38">
        <v>0.10299999999999999</v>
      </c>
      <c r="HS39" s="24"/>
      <c r="HT39" s="24"/>
      <c r="HU39" s="24"/>
      <c r="HV39" s="24"/>
      <c r="HW39" s="24"/>
      <c r="HX39" s="24"/>
      <c r="HY39" s="24"/>
      <c r="HZ39" s="24"/>
      <c r="IA39" s="38"/>
      <c r="IB39" s="24"/>
      <c r="IC39" s="24"/>
      <c r="ID39" s="24"/>
      <c r="IE39" s="24"/>
      <c r="IF39" s="24"/>
      <c r="IG39" s="24"/>
      <c r="IH39" s="24"/>
      <c r="II39" s="24"/>
      <c r="IJ39" s="38"/>
      <c r="IK39" s="24"/>
      <c r="IL39" s="24"/>
      <c r="IM39" s="24"/>
      <c r="IN39" s="24"/>
      <c r="IO39" s="24"/>
      <c r="IP39" s="24"/>
      <c r="IQ39" s="24"/>
      <c r="IR39" s="24"/>
      <c r="IS39" s="38"/>
      <c r="IT39" s="24"/>
      <c r="IU39" s="24"/>
      <c r="IV39" s="24"/>
      <c r="IW39" s="24"/>
      <c r="IX39" s="24"/>
      <c r="IY39" s="24"/>
      <c r="IZ39" s="24"/>
      <c r="JA39" s="24"/>
      <c r="JB39" s="38"/>
      <c r="JC39" s="24"/>
      <c r="JD39" s="24"/>
      <c r="JE39" s="24"/>
      <c r="JF39" s="24"/>
      <c r="JG39" s="24"/>
      <c r="JH39" s="24"/>
      <c r="JI39" s="24"/>
      <c r="JJ39" s="24"/>
      <c r="JK39" s="38"/>
      <c r="JL39" s="24"/>
      <c r="JM39" s="24"/>
      <c r="JN39" s="24"/>
      <c r="JO39" s="24"/>
      <c r="JP39" s="24"/>
      <c r="JQ39" s="24"/>
      <c r="JR39" s="24"/>
      <c r="JS39" s="24"/>
      <c r="JT39" s="38"/>
      <c r="JU39" s="24"/>
      <c r="JV39" s="24"/>
      <c r="JW39" s="24"/>
      <c r="JX39" s="24"/>
      <c r="JY39" s="24"/>
      <c r="JZ39" s="24"/>
      <c r="KA39" s="24"/>
      <c r="KB39" s="24"/>
      <c r="KC39" s="38"/>
      <c r="KD39" s="24"/>
      <c r="KE39" s="24"/>
      <c r="KF39" s="24"/>
      <c r="KG39" s="24"/>
      <c r="KH39" s="24"/>
      <c r="KI39" s="24"/>
      <c r="KJ39" s="24"/>
      <c r="KK39" s="24"/>
      <c r="KL39" s="38"/>
      <c r="KM39" s="24"/>
      <c r="KN39" s="24"/>
      <c r="KO39" s="24"/>
      <c r="KP39" s="24"/>
      <c r="KQ39" s="24"/>
      <c r="KR39" s="24"/>
      <c r="KS39" s="24"/>
      <c r="KT39" s="24"/>
      <c r="KU39" s="38"/>
      <c r="KV39" s="24"/>
      <c r="KW39" s="24"/>
      <c r="KX39" s="24"/>
      <c r="KY39" s="24"/>
      <c r="KZ39" s="24"/>
      <c r="LA39" s="24"/>
      <c r="LB39" s="24"/>
      <c r="LC39" s="24"/>
      <c r="LD39" s="38"/>
      <c r="LE39" s="24"/>
      <c r="LF39" s="24"/>
      <c r="LG39" s="24"/>
      <c r="LH39" s="24"/>
      <c r="LI39" s="24"/>
      <c r="LJ39" s="24"/>
      <c r="LK39" s="24"/>
      <c r="LL39" s="24"/>
      <c r="LM39" s="38"/>
      <c r="LN39" s="24"/>
      <c r="LO39" s="24"/>
      <c r="LP39" s="24"/>
      <c r="LQ39" s="24"/>
      <c r="LR39" s="24"/>
      <c r="LS39" s="24"/>
      <c r="LT39" s="24"/>
      <c r="LU39" s="24"/>
      <c r="LV39" s="38"/>
      <c r="LW39" s="24"/>
      <c r="LX39" s="24"/>
      <c r="LY39" s="24"/>
      <c r="LZ39" s="24"/>
      <c r="MA39" s="24"/>
      <c r="MB39" s="24"/>
      <c r="MC39" s="24"/>
      <c r="MD39" s="24"/>
      <c r="ME39" s="38"/>
      <c r="MF39" s="24"/>
      <c r="MG39" s="24"/>
      <c r="MH39" s="24"/>
      <c r="MI39" s="24"/>
      <c r="MJ39" s="24"/>
      <c r="MK39" s="24"/>
      <c r="ML39" s="24"/>
      <c r="MM39" s="24"/>
      <c r="MN39" s="38"/>
      <c r="MO39" s="24"/>
      <c r="MP39" s="24"/>
      <c r="MQ39" s="24"/>
      <c r="MR39" s="24"/>
      <c r="MS39" s="24"/>
      <c r="MT39" s="24"/>
      <c r="MU39" s="24"/>
      <c r="MV39" s="24"/>
      <c r="MW39" s="38"/>
      <c r="MX39" s="24"/>
      <c r="MY39" s="24"/>
      <c r="MZ39" s="24"/>
      <c r="NA39" s="24"/>
      <c r="NB39" s="24"/>
      <c r="NC39" s="24"/>
      <c r="ND39" s="24"/>
      <c r="NE39" s="24"/>
      <c r="NF39" s="38"/>
      <c r="NG39" s="24"/>
      <c r="NH39" s="24"/>
      <c r="NI39" s="24"/>
      <c r="NJ39" s="24"/>
      <c r="NK39" s="24"/>
      <c r="NL39" s="24"/>
      <c r="NM39" s="24"/>
      <c r="NN39" s="24"/>
      <c r="NO39" s="38"/>
      <c r="NP39" s="24"/>
      <c r="NQ39" s="24"/>
      <c r="NR39" s="24"/>
      <c r="NS39" s="24"/>
      <c r="NT39" s="24"/>
      <c r="NU39" s="24"/>
      <c r="NV39" s="24"/>
      <c r="NW39" s="24"/>
      <c r="NX39" s="38"/>
      <c r="NY39" s="24"/>
      <c r="NZ39" s="24"/>
      <c r="OA39" s="24"/>
      <c r="OB39" s="24"/>
      <c r="OC39" s="24"/>
      <c r="OD39" s="24"/>
      <c r="OE39" s="24"/>
      <c r="OF39" s="24"/>
      <c r="OG39" s="38"/>
      <c r="OH39" s="24"/>
      <c r="OI39" s="24"/>
      <c r="OJ39" s="24"/>
      <c r="OK39" s="24"/>
      <c r="OL39" s="24"/>
      <c r="OM39" s="24"/>
      <c r="ON39" s="24"/>
      <c r="OO39" s="24"/>
      <c r="OP39" s="38"/>
      <c r="OQ39" s="24"/>
      <c r="OR39" s="24"/>
      <c r="OS39" s="24"/>
      <c r="OT39" s="24"/>
      <c r="OU39" s="24"/>
      <c r="OV39" s="24"/>
      <c r="OW39" s="24"/>
      <c r="OX39" s="24"/>
      <c r="OY39" s="38"/>
    </row>
    <row r="40" spans="1:424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  <c r="K40" s="24"/>
      <c r="L40" s="24"/>
      <c r="M40" s="24"/>
      <c r="N40" s="24"/>
      <c r="O40" s="24"/>
      <c r="P40" s="24"/>
      <c r="Q40" s="24"/>
      <c r="R40" s="24"/>
      <c r="S40" s="38"/>
      <c r="T40" s="24"/>
      <c r="U40" s="24"/>
      <c r="V40" s="24"/>
      <c r="W40" s="24"/>
      <c r="X40" s="24"/>
      <c r="Y40" s="24"/>
      <c r="Z40" s="24"/>
      <c r="AA40" s="24"/>
      <c r="AB40" s="38"/>
      <c r="AC40" s="24"/>
      <c r="AD40" s="24"/>
      <c r="AE40" s="24"/>
      <c r="AF40" s="24"/>
      <c r="AG40" s="24"/>
      <c r="AH40" s="24"/>
      <c r="AI40" s="24"/>
      <c r="AJ40" s="24"/>
      <c r="AK40" s="38"/>
      <c r="AL40" s="24"/>
      <c r="AM40" s="24"/>
      <c r="AN40" s="24"/>
      <c r="AO40" s="24"/>
      <c r="AP40" s="24"/>
      <c r="AQ40" s="24"/>
      <c r="AR40" s="24"/>
      <c r="AS40" s="24"/>
      <c r="AT40" s="38"/>
      <c r="AU40" s="24"/>
      <c r="AV40" s="24"/>
      <c r="AW40" s="24"/>
      <c r="AX40" s="24"/>
      <c r="AY40" s="24"/>
      <c r="AZ40" s="24"/>
      <c r="BA40" s="24"/>
      <c r="BB40" s="24"/>
      <c r="BC40" s="38"/>
      <c r="BD40" s="24"/>
      <c r="BE40" s="24"/>
      <c r="BF40" s="24"/>
      <c r="BG40" s="24"/>
      <c r="BH40" s="24"/>
      <c r="BI40" s="24"/>
      <c r="BJ40" s="24"/>
      <c r="BK40" s="24"/>
      <c r="BL40" s="38"/>
      <c r="BM40" s="24"/>
      <c r="BN40" s="24"/>
      <c r="BO40" s="24"/>
      <c r="BP40" s="24"/>
      <c r="BQ40" s="24"/>
      <c r="BR40" s="24"/>
      <c r="BS40" s="24"/>
      <c r="BT40" s="24"/>
      <c r="BU40" s="38"/>
      <c r="BV40" s="24"/>
      <c r="BW40" s="24"/>
      <c r="BX40" s="24"/>
      <c r="BY40" s="24"/>
      <c r="BZ40" s="24"/>
      <c r="CA40" s="24"/>
      <c r="CB40" s="24"/>
      <c r="CC40" s="24"/>
      <c r="CD40" s="38"/>
      <c r="CE40" s="24"/>
      <c r="CF40" s="24"/>
      <c r="CG40" s="24"/>
      <c r="CH40" s="24"/>
      <c r="CI40" s="24"/>
      <c r="CJ40" s="24"/>
      <c r="CK40" s="24"/>
      <c r="CL40" s="24"/>
      <c r="CM40" s="38"/>
      <c r="CN40" s="24"/>
      <c r="CO40" s="24"/>
      <c r="CP40" s="24"/>
      <c r="CQ40" s="24"/>
      <c r="CR40" s="24"/>
      <c r="CS40" s="24"/>
      <c r="CT40" s="24"/>
      <c r="CU40" s="24"/>
      <c r="CV40" s="38"/>
      <c r="CW40" s="24"/>
      <c r="CX40" s="24"/>
      <c r="CY40" s="24"/>
      <c r="CZ40" s="24"/>
      <c r="DA40" s="24"/>
      <c r="DB40" s="24">
        <v>19410000</v>
      </c>
      <c r="DC40" s="24"/>
      <c r="DD40" s="24"/>
      <c r="DE40" s="38"/>
      <c r="DF40" s="24"/>
      <c r="DG40" s="24"/>
      <c r="DH40" s="24"/>
      <c r="DI40" s="24"/>
      <c r="DJ40" s="24"/>
      <c r="DK40" s="24"/>
      <c r="DL40" s="24"/>
      <c r="DM40" s="24"/>
      <c r="DN40" s="38"/>
      <c r="DO40" s="24"/>
      <c r="DP40" s="24"/>
      <c r="DQ40" s="24"/>
      <c r="DR40" s="24"/>
      <c r="DS40" s="24"/>
      <c r="DT40" s="24"/>
      <c r="DU40" s="24"/>
      <c r="DV40" s="24"/>
      <c r="DW40" s="38"/>
      <c r="DX40" s="24"/>
      <c r="DY40" s="24"/>
      <c r="DZ40" s="24"/>
      <c r="EA40" s="24"/>
      <c r="EB40" s="24"/>
      <c r="EC40" s="24"/>
      <c r="ED40" s="24"/>
      <c r="EE40" s="24"/>
      <c r="EF40" s="38"/>
      <c r="EG40" s="24"/>
      <c r="EH40" s="24"/>
      <c r="EI40" s="24"/>
      <c r="EJ40" s="24"/>
      <c r="EK40" s="24"/>
      <c r="EL40" s="24"/>
      <c r="EM40" s="24"/>
      <c r="EN40" s="24"/>
      <c r="EO40" s="38"/>
      <c r="EP40" s="24"/>
      <c r="EQ40" s="24"/>
      <c r="ER40" s="24"/>
      <c r="ES40" s="24"/>
      <c r="ET40" s="24"/>
      <c r="EU40" s="24"/>
      <c r="EV40" s="24"/>
      <c r="EW40" s="24"/>
      <c r="EX40" s="38"/>
      <c r="EY40" s="24"/>
      <c r="EZ40" s="24"/>
      <c r="FA40" s="24"/>
      <c r="FB40" s="24"/>
      <c r="FC40" s="24"/>
      <c r="FD40" s="24"/>
      <c r="FE40" s="24"/>
      <c r="FF40" s="24"/>
      <c r="FG40" s="38"/>
      <c r="FH40" s="24"/>
      <c r="FI40" s="24"/>
      <c r="FJ40" s="24"/>
      <c r="FK40" s="24"/>
      <c r="FL40" s="24"/>
      <c r="FM40" s="24"/>
      <c r="FN40" s="24"/>
      <c r="FO40" s="24"/>
      <c r="FP40" s="38"/>
      <c r="FQ40" s="24"/>
      <c r="FR40" s="24"/>
      <c r="FS40" s="24"/>
      <c r="FT40" s="24"/>
      <c r="FU40" s="24"/>
      <c r="FV40" s="24"/>
      <c r="FW40" s="24"/>
      <c r="FX40" s="24"/>
      <c r="FY40" s="38"/>
      <c r="FZ40" s="24"/>
      <c r="GA40" s="24"/>
      <c r="GB40" s="24"/>
      <c r="GC40" s="24"/>
      <c r="GD40" s="24"/>
      <c r="GE40" s="24"/>
      <c r="GF40" s="24"/>
      <c r="GG40" s="24"/>
      <c r="GH40" s="38"/>
      <c r="GI40" s="24"/>
      <c r="GJ40" s="24"/>
      <c r="GK40" s="24"/>
      <c r="GL40" s="24"/>
      <c r="GM40" s="24"/>
      <c r="GN40" s="24"/>
      <c r="GO40" s="24"/>
      <c r="GP40" s="24"/>
      <c r="GQ40" s="38"/>
      <c r="GR40" s="24"/>
      <c r="GS40" s="24"/>
      <c r="GT40" s="24"/>
      <c r="GU40" s="24"/>
      <c r="GV40" s="24"/>
      <c r="GW40" s="24"/>
      <c r="GX40" s="24"/>
      <c r="GY40" s="24"/>
      <c r="GZ40" s="38"/>
      <c r="HA40" s="24"/>
      <c r="HB40" s="24"/>
      <c r="HC40" s="24"/>
      <c r="HD40" s="24"/>
      <c r="HE40" s="24"/>
      <c r="HF40" s="24"/>
      <c r="HG40" s="24"/>
      <c r="HH40" s="24"/>
      <c r="HI40" s="38"/>
      <c r="HJ40" s="24"/>
      <c r="HK40" s="24"/>
      <c r="HL40" s="24"/>
      <c r="HM40" s="24"/>
      <c r="HN40" s="24"/>
      <c r="HO40" s="24"/>
      <c r="HP40" s="24"/>
      <c r="HQ40" s="24"/>
      <c r="HR40" s="38"/>
      <c r="HS40" s="24">
        <v>0</v>
      </c>
      <c r="HT40" s="24">
        <v>0</v>
      </c>
      <c r="HU40" s="24">
        <v>27</v>
      </c>
      <c r="HV40" s="24">
        <v>20100273</v>
      </c>
      <c r="HW40" s="24">
        <v>29</v>
      </c>
      <c r="HX40" s="24">
        <v>17275629</v>
      </c>
      <c r="HY40" s="24">
        <v>27859777</v>
      </c>
      <c r="HZ40" s="24">
        <v>3389649</v>
      </c>
      <c r="IA40" s="38">
        <v>0.1217</v>
      </c>
      <c r="IB40" s="24">
        <v>0</v>
      </c>
      <c r="IC40" s="24">
        <v>0</v>
      </c>
      <c r="ID40" s="24">
        <v>16</v>
      </c>
      <c r="IE40" s="24">
        <v>8767632</v>
      </c>
      <c r="IF40" s="24">
        <v>13</v>
      </c>
      <c r="IG40" s="24">
        <v>8507997</v>
      </c>
      <c r="IH40" s="24">
        <v>13482524</v>
      </c>
      <c r="II40" s="24">
        <v>1432847</v>
      </c>
      <c r="IJ40" s="38">
        <v>0.10630000000000001</v>
      </c>
      <c r="IK40" s="24">
        <v>0</v>
      </c>
      <c r="IL40" s="24">
        <v>0</v>
      </c>
      <c r="IM40" s="24">
        <v>5</v>
      </c>
      <c r="IN40" s="24">
        <v>2837461</v>
      </c>
      <c r="IO40" s="24">
        <v>8</v>
      </c>
      <c r="IP40" s="24">
        <v>5670536</v>
      </c>
      <c r="IQ40" s="24">
        <v>6857812</v>
      </c>
      <c r="IR40" s="24">
        <v>822825</v>
      </c>
      <c r="IS40" s="38">
        <v>0.12</v>
      </c>
      <c r="IT40" s="24">
        <v>0</v>
      </c>
      <c r="IU40" s="24">
        <v>0</v>
      </c>
      <c r="IV40" s="24">
        <v>1</v>
      </c>
      <c r="IW40" s="24">
        <v>2228014</v>
      </c>
      <c r="IX40" s="24">
        <v>7</v>
      </c>
      <c r="IY40" s="24">
        <v>3442522</v>
      </c>
      <c r="IZ40" s="24">
        <v>4583343</v>
      </c>
      <c r="JA40" s="24">
        <v>543300</v>
      </c>
      <c r="JB40" s="38">
        <v>0.11849999999999999</v>
      </c>
      <c r="JC40" s="24">
        <v>0</v>
      </c>
      <c r="JD40" s="24">
        <v>0</v>
      </c>
      <c r="JE40" s="24">
        <v>5</v>
      </c>
      <c r="JF40" s="24">
        <v>1566906</v>
      </c>
      <c r="JG40" s="24">
        <v>2</v>
      </c>
      <c r="JH40" s="24">
        <v>1875616</v>
      </c>
      <c r="JI40" s="24">
        <v>2649554</v>
      </c>
      <c r="JJ40" s="24">
        <v>313421</v>
      </c>
      <c r="JK40" s="38">
        <v>0.1183</v>
      </c>
      <c r="JL40" s="24">
        <v>0</v>
      </c>
      <c r="JM40" s="24">
        <v>0</v>
      </c>
      <c r="JN40" s="24">
        <v>0</v>
      </c>
      <c r="JO40" s="24">
        <v>878156</v>
      </c>
      <c r="JP40" s="24">
        <v>2</v>
      </c>
      <c r="JQ40" s="24">
        <v>997460</v>
      </c>
      <c r="JR40" s="24">
        <v>1445110</v>
      </c>
      <c r="JS40" s="24">
        <v>190516</v>
      </c>
      <c r="JT40" s="38">
        <v>0.1318</v>
      </c>
      <c r="JU40" s="24">
        <v>0</v>
      </c>
      <c r="JV40" s="24">
        <v>0</v>
      </c>
      <c r="JW40" s="24">
        <v>1</v>
      </c>
      <c r="JX40" s="24">
        <v>953332</v>
      </c>
      <c r="JY40" s="24">
        <v>1</v>
      </c>
      <c r="JZ40" s="24">
        <v>44128</v>
      </c>
      <c r="KA40" s="24">
        <v>511694</v>
      </c>
      <c r="KB40" s="24">
        <v>70958</v>
      </c>
      <c r="KC40" s="38">
        <v>0.13869999999999999</v>
      </c>
      <c r="KD40" s="24">
        <v>0</v>
      </c>
      <c r="KE40" s="24">
        <v>0</v>
      </c>
      <c r="KF40" s="24">
        <v>1</v>
      </c>
      <c r="KG40" s="24">
        <v>44128</v>
      </c>
      <c r="KH40" s="24">
        <v>0</v>
      </c>
      <c r="KI40" s="24">
        <v>0</v>
      </c>
      <c r="KJ40" s="24">
        <v>3394</v>
      </c>
      <c r="KK40" s="24">
        <v>645</v>
      </c>
      <c r="KL40" s="38">
        <v>0.19</v>
      </c>
      <c r="KM40" s="24"/>
      <c r="KN40" s="24"/>
      <c r="KO40" s="24"/>
      <c r="KP40" s="24"/>
      <c r="KQ40" s="24"/>
      <c r="KR40" s="24"/>
      <c r="KS40" s="24"/>
      <c r="KT40" s="24"/>
      <c r="KU40" s="38"/>
      <c r="KV40" s="24"/>
      <c r="KW40" s="24"/>
      <c r="KX40" s="24"/>
      <c r="KY40" s="24"/>
      <c r="KZ40" s="24"/>
      <c r="LA40" s="24"/>
      <c r="LB40" s="24"/>
      <c r="LC40" s="24"/>
      <c r="LD40" s="38"/>
      <c r="LE40" s="24"/>
      <c r="LF40" s="24"/>
      <c r="LG40" s="24"/>
      <c r="LH40" s="24"/>
      <c r="LI40" s="24"/>
      <c r="LJ40" s="24"/>
      <c r="LK40" s="24"/>
      <c r="LL40" s="24"/>
      <c r="LM40" s="38"/>
      <c r="LN40" s="24"/>
      <c r="LO40" s="24"/>
      <c r="LP40" s="24"/>
      <c r="LQ40" s="24"/>
      <c r="LR40" s="24"/>
      <c r="LS40" s="24"/>
      <c r="LT40" s="24"/>
      <c r="LU40" s="24"/>
      <c r="LV40" s="38"/>
      <c r="LW40" s="24"/>
      <c r="LX40" s="24"/>
      <c r="LY40" s="24"/>
      <c r="LZ40" s="24"/>
      <c r="MA40" s="24"/>
      <c r="MB40" s="24"/>
      <c r="MC40" s="24"/>
      <c r="MD40" s="24"/>
      <c r="ME40" s="38"/>
      <c r="MF40" s="24"/>
      <c r="MG40" s="24"/>
      <c r="MH40" s="24"/>
      <c r="MI40" s="24"/>
      <c r="MJ40" s="24"/>
      <c r="MK40" s="24"/>
      <c r="ML40" s="24"/>
      <c r="MM40" s="24"/>
      <c r="MN40" s="38"/>
      <c r="MO40" s="24"/>
      <c r="MP40" s="24"/>
      <c r="MQ40" s="24"/>
      <c r="MR40" s="24"/>
      <c r="MS40" s="24"/>
      <c r="MT40" s="24"/>
      <c r="MU40" s="24"/>
      <c r="MV40" s="24"/>
      <c r="MW40" s="38"/>
      <c r="MX40" s="24"/>
      <c r="MY40" s="24"/>
      <c r="MZ40" s="24"/>
      <c r="NA40" s="24"/>
      <c r="NB40" s="24"/>
      <c r="NC40" s="24"/>
      <c r="ND40" s="24"/>
      <c r="NE40" s="24"/>
      <c r="NF40" s="38"/>
      <c r="NG40" s="24"/>
      <c r="NH40" s="24"/>
      <c r="NI40" s="24"/>
      <c r="NJ40" s="24"/>
      <c r="NK40" s="24"/>
      <c r="NL40" s="24"/>
      <c r="NM40" s="24"/>
      <c r="NN40" s="24"/>
      <c r="NO40" s="38"/>
      <c r="NP40" s="24"/>
      <c r="NQ40" s="24"/>
      <c r="NR40" s="24"/>
      <c r="NS40" s="24"/>
      <c r="NT40" s="24"/>
      <c r="NU40" s="24"/>
      <c r="NV40" s="24"/>
      <c r="NW40" s="24"/>
      <c r="NX40" s="38"/>
      <c r="NY40" s="24"/>
      <c r="NZ40" s="24"/>
      <c r="OA40" s="24"/>
      <c r="OB40" s="24"/>
      <c r="OC40" s="24"/>
      <c r="OD40" s="24"/>
      <c r="OE40" s="24"/>
      <c r="OF40" s="24"/>
      <c r="OG40" s="38"/>
      <c r="OH40" s="24"/>
      <c r="OI40" s="24"/>
      <c r="OJ40" s="24"/>
      <c r="OK40" s="24"/>
      <c r="OL40" s="24"/>
      <c r="OM40" s="24"/>
      <c r="ON40" s="24"/>
      <c r="OO40" s="24"/>
      <c r="OP40" s="38"/>
      <c r="OQ40" s="24"/>
      <c r="OR40" s="24"/>
      <c r="OS40" s="24"/>
      <c r="OT40" s="24"/>
      <c r="OU40" s="24"/>
      <c r="OV40" s="24"/>
      <c r="OW40" s="24"/>
      <c r="OX40" s="24"/>
      <c r="OY40" s="38"/>
    </row>
    <row r="41" spans="1:424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  <c r="K41" s="24"/>
      <c r="L41" s="24"/>
      <c r="M41" s="24"/>
      <c r="N41" s="24"/>
      <c r="O41" s="24"/>
      <c r="P41" s="24"/>
      <c r="Q41" s="24"/>
      <c r="R41" s="24"/>
      <c r="S41" s="38"/>
      <c r="T41" s="24"/>
      <c r="U41" s="24"/>
      <c r="V41" s="24"/>
      <c r="W41" s="24"/>
      <c r="X41" s="24"/>
      <c r="Y41" s="24"/>
      <c r="Z41" s="24"/>
      <c r="AA41" s="24"/>
      <c r="AB41" s="38"/>
      <c r="AC41" s="24"/>
      <c r="AD41" s="24"/>
      <c r="AE41" s="24"/>
      <c r="AF41" s="24"/>
      <c r="AG41" s="24"/>
      <c r="AH41" s="24"/>
      <c r="AI41" s="24"/>
      <c r="AJ41" s="24"/>
      <c r="AK41" s="38"/>
      <c r="AL41" s="24"/>
      <c r="AM41" s="24"/>
      <c r="AN41" s="24"/>
      <c r="AO41" s="24"/>
      <c r="AP41" s="24"/>
      <c r="AQ41" s="24"/>
      <c r="AR41" s="24"/>
      <c r="AS41" s="24"/>
      <c r="AT41" s="38"/>
      <c r="AU41" s="24"/>
      <c r="AV41" s="24"/>
      <c r="AW41" s="24"/>
      <c r="AX41" s="24"/>
      <c r="AY41" s="24"/>
      <c r="AZ41" s="24"/>
      <c r="BA41" s="24"/>
      <c r="BB41" s="24"/>
      <c r="BC41" s="38"/>
      <c r="BD41" s="24"/>
      <c r="BE41" s="24"/>
      <c r="BF41" s="24"/>
      <c r="BG41" s="24"/>
      <c r="BH41" s="24"/>
      <c r="BI41" s="24"/>
      <c r="BJ41" s="24"/>
      <c r="BK41" s="24"/>
      <c r="BL41" s="38"/>
      <c r="BM41" s="24"/>
      <c r="BN41" s="24"/>
      <c r="BO41" s="24"/>
      <c r="BP41" s="24"/>
      <c r="BQ41" s="24"/>
      <c r="BR41" s="24"/>
      <c r="BS41" s="24"/>
      <c r="BT41" s="24"/>
      <c r="BU41" s="38"/>
      <c r="BV41" s="24"/>
      <c r="BW41" s="24"/>
      <c r="BX41" s="24"/>
      <c r="BY41" s="24"/>
      <c r="BZ41" s="24"/>
      <c r="CA41" s="24"/>
      <c r="CB41" s="24"/>
      <c r="CC41" s="24"/>
      <c r="CD41" s="38"/>
      <c r="CE41" s="24"/>
      <c r="CF41" s="24"/>
      <c r="CG41" s="24"/>
      <c r="CH41" s="24"/>
      <c r="CI41" s="24"/>
      <c r="CJ41" s="24"/>
      <c r="CK41" s="24"/>
      <c r="CL41" s="24"/>
      <c r="CM41" s="38"/>
      <c r="CN41" s="24"/>
      <c r="CO41" s="24"/>
      <c r="CP41" s="24"/>
      <c r="CQ41" s="24"/>
      <c r="CR41" s="24"/>
      <c r="CS41" s="24"/>
      <c r="CT41" s="24"/>
      <c r="CU41" s="24"/>
      <c r="CV41" s="38"/>
      <c r="CW41" s="24"/>
      <c r="CX41" s="24"/>
      <c r="CY41" s="24"/>
      <c r="CZ41" s="24"/>
      <c r="DA41" s="24"/>
      <c r="DB41" s="24"/>
      <c r="DC41" s="24"/>
      <c r="DD41" s="24"/>
      <c r="DE41" s="38"/>
      <c r="DF41" s="24"/>
      <c r="DG41" s="24"/>
      <c r="DH41" s="24"/>
      <c r="DI41" s="24"/>
      <c r="DJ41" s="24"/>
      <c r="DK41" s="24"/>
      <c r="DL41" s="24"/>
      <c r="DM41" s="24"/>
      <c r="DN41" s="38"/>
      <c r="DO41" s="24"/>
      <c r="DP41" s="24"/>
      <c r="DQ41" s="24"/>
      <c r="DR41" s="24"/>
      <c r="DS41" s="24"/>
      <c r="DT41" s="24"/>
      <c r="DU41" s="24"/>
      <c r="DV41" s="24"/>
      <c r="DW41" s="38"/>
      <c r="DX41" s="24"/>
      <c r="DY41" s="24"/>
      <c r="DZ41" s="24"/>
      <c r="EA41" s="24"/>
      <c r="EB41" s="24"/>
      <c r="EC41" s="24"/>
      <c r="ED41" s="24"/>
      <c r="EE41" s="24"/>
      <c r="EF41" s="38"/>
      <c r="EG41" s="24"/>
      <c r="EH41" s="24"/>
      <c r="EI41" s="24"/>
      <c r="EJ41" s="24"/>
      <c r="EK41" s="24"/>
      <c r="EL41" s="24"/>
      <c r="EM41" s="24"/>
      <c r="EN41" s="24"/>
      <c r="EO41" s="38"/>
      <c r="EP41" s="24"/>
      <c r="EQ41" s="24"/>
      <c r="ER41" s="24"/>
      <c r="ES41" s="24"/>
      <c r="ET41" s="24"/>
      <c r="EU41" s="24"/>
      <c r="EV41" s="24"/>
      <c r="EW41" s="24"/>
      <c r="EX41" s="38"/>
      <c r="EY41" s="24"/>
      <c r="EZ41" s="24"/>
      <c r="FA41" s="24"/>
      <c r="FB41" s="24"/>
      <c r="FC41" s="24"/>
      <c r="FD41" s="24"/>
      <c r="FE41" s="24"/>
      <c r="FF41" s="24"/>
      <c r="FG41" s="38"/>
      <c r="FH41" s="24"/>
      <c r="FI41" s="24"/>
      <c r="FJ41" s="24"/>
      <c r="FK41" s="24"/>
      <c r="FL41" s="24"/>
      <c r="FM41" s="24"/>
      <c r="FN41" s="24"/>
      <c r="FO41" s="24"/>
      <c r="FP41" s="38"/>
      <c r="FQ41" s="24"/>
      <c r="FR41" s="24"/>
      <c r="FS41" s="24"/>
      <c r="FT41" s="24"/>
      <c r="FU41" s="24"/>
      <c r="FV41" s="24"/>
      <c r="FW41" s="24"/>
      <c r="FX41" s="24"/>
      <c r="FY41" s="38"/>
      <c r="FZ41" s="24"/>
      <c r="GA41" s="24"/>
      <c r="GB41" s="24"/>
      <c r="GC41" s="24"/>
      <c r="GD41" s="24"/>
      <c r="GE41" s="24"/>
      <c r="GF41" s="24"/>
      <c r="GG41" s="24"/>
      <c r="GH41" s="38"/>
      <c r="GI41" s="24"/>
      <c r="GJ41" s="24"/>
      <c r="GK41" s="24"/>
      <c r="GL41" s="24"/>
      <c r="GM41" s="24"/>
      <c r="GN41" s="24"/>
      <c r="GO41" s="24"/>
      <c r="GP41" s="24"/>
      <c r="GQ41" s="38"/>
      <c r="GR41" s="24"/>
      <c r="GS41" s="24"/>
      <c r="GT41" s="24"/>
      <c r="GU41" s="24"/>
      <c r="GV41" s="24"/>
      <c r="GW41" s="24"/>
      <c r="GX41" s="24"/>
      <c r="GY41" s="24"/>
      <c r="GZ41" s="38"/>
      <c r="HA41" s="24"/>
      <c r="HB41" s="24"/>
      <c r="HC41" s="24"/>
      <c r="HD41" s="24"/>
      <c r="HE41" s="24"/>
      <c r="HF41" s="24"/>
      <c r="HG41" s="24"/>
      <c r="HH41" s="24"/>
      <c r="HI41" s="38"/>
      <c r="HJ41" s="24"/>
      <c r="HK41" s="24"/>
      <c r="HL41" s="24"/>
      <c r="HM41" s="24"/>
      <c r="HN41" s="24"/>
      <c r="HO41" s="24"/>
      <c r="HP41" s="24"/>
      <c r="HQ41" s="24"/>
      <c r="HR41" s="38"/>
      <c r="HS41" s="24">
        <v>0</v>
      </c>
      <c r="HT41" s="24">
        <v>0</v>
      </c>
      <c r="HU41" s="24">
        <v>21</v>
      </c>
      <c r="HV41" s="24">
        <v>17179186</v>
      </c>
      <c r="HW41" s="24">
        <v>39</v>
      </c>
      <c r="HX41" s="24">
        <v>32604936</v>
      </c>
      <c r="HY41" s="24">
        <v>40913574</v>
      </c>
      <c r="HZ41" s="24">
        <v>4399825</v>
      </c>
      <c r="IA41" s="38">
        <v>0.1075</v>
      </c>
      <c r="IB41" s="24">
        <v>1</v>
      </c>
      <c r="IC41" s="24">
        <v>120000</v>
      </c>
      <c r="ID41" s="24">
        <v>17</v>
      </c>
      <c r="IE41" s="24">
        <v>11948500</v>
      </c>
      <c r="IF41" s="24">
        <v>23</v>
      </c>
      <c r="IG41" s="24">
        <v>20776436</v>
      </c>
      <c r="IH41" s="24">
        <v>26320001</v>
      </c>
      <c r="II41" s="24">
        <v>2898259</v>
      </c>
      <c r="IJ41" s="38">
        <v>0.1101</v>
      </c>
      <c r="IK41" s="24">
        <v>2</v>
      </c>
      <c r="IL41" s="24">
        <v>2100000</v>
      </c>
      <c r="IM41" s="24">
        <v>7</v>
      </c>
      <c r="IN41" s="24">
        <v>7135155</v>
      </c>
      <c r="IO41" s="24">
        <v>18</v>
      </c>
      <c r="IP41" s="24">
        <v>15741281</v>
      </c>
      <c r="IQ41" s="24">
        <v>17937260</v>
      </c>
      <c r="IR41" s="24">
        <v>1918689</v>
      </c>
      <c r="IS41" s="38">
        <v>0.107</v>
      </c>
      <c r="IT41" s="24"/>
      <c r="IU41" s="24"/>
      <c r="IV41" s="24">
        <v>8</v>
      </c>
      <c r="IW41" s="24">
        <v>6181627</v>
      </c>
      <c r="IX41" s="24">
        <v>10</v>
      </c>
      <c r="IY41" s="24">
        <v>8922654</v>
      </c>
      <c r="IZ41" s="24">
        <v>12935794</v>
      </c>
      <c r="JA41" s="24">
        <v>1358670</v>
      </c>
      <c r="JB41" s="38">
        <v>0.105</v>
      </c>
      <c r="JC41" s="24">
        <v>0</v>
      </c>
      <c r="JD41" s="24">
        <v>0</v>
      </c>
      <c r="JE41" s="24">
        <v>3</v>
      </c>
      <c r="JF41" s="24">
        <v>3228106</v>
      </c>
      <c r="JG41" s="24">
        <v>7</v>
      </c>
      <c r="JH41" s="24">
        <v>5694548</v>
      </c>
      <c r="JI41" s="24">
        <v>7186425</v>
      </c>
      <c r="JJ41" s="24">
        <v>763561</v>
      </c>
      <c r="JK41" s="38">
        <v>0.10630000000000001</v>
      </c>
      <c r="JL41" s="24">
        <v>0</v>
      </c>
      <c r="JM41" s="24">
        <v>0</v>
      </c>
      <c r="JN41" s="24">
        <v>3</v>
      </c>
      <c r="JO41" s="24">
        <v>2808693</v>
      </c>
      <c r="JP41" s="24">
        <v>4</v>
      </c>
      <c r="JQ41" s="24">
        <v>2885855</v>
      </c>
      <c r="JR41" s="24">
        <v>4283409</v>
      </c>
      <c r="JS41" s="24">
        <v>455350</v>
      </c>
      <c r="JT41" s="38">
        <v>0.10630000000000001</v>
      </c>
      <c r="JU41" s="24">
        <v>0</v>
      </c>
      <c r="JV41" s="24">
        <v>0</v>
      </c>
      <c r="JW41" s="24">
        <v>2</v>
      </c>
      <c r="JX41" s="24">
        <v>2117595</v>
      </c>
      <c r="JY41" s="24">
        <v>2</v>
      </c>
      <c r="JZ41" s="24">
        <v>768260</v>
      </c>
      <c r="KA41" s="24">
        <v>1998646</v>
      </c>
      <c r="KB41" s="24">
        <v>214745</v>
      </c>
      <c r="KC41" s="38">
        <v>0.1074</v>
      </c>
      <c r="KD41" s="24">
        <v>0</v>
      </c>
      <c r="KE41" s="24">
        <v>0</v>
      </c>
      <c r="KF41" s="24">
        <v>1</v>
      </c>
      <c r="KG41" s="24">
        <v>553133</v>
      </c>
      <c r="KH41" s="24">
        <v>1</v>
      </c>
      <c r="KI41" s="24">
        <v>215127</v>
      </c>
      <c r="KJ41" s="24">
        <v>475458</v>
      </c>
      <c r="KK41" s="24">
        <v>48404</v>
      </c>
      <c r="KL41" s="38">
        <v>0.1018</v>
      </c>
      <c r="KM41" s="24">
        <v>0</v>
      </c>
      <c r="KN41" s="24">
        <v>0</v>
      </c>
      <c r="KO41" s="24">
        <v>1</v>
      </c>
      <c r="KP41" s="24">
        <v>215127</v>
      </c>
      <c r="KQ41" s="24">
        <v>0</v>
      </c>
      <c r="KR41" s="24">
        <v>0</v>
      </c>
      <c r="KS41" s="24">
        <v>49892</v>
      </c>
      <c r="KT41" s="24">
        <v>5356</v>
      </c>
      <c r="KU41" s="38">
        <v>0.1074</v>
      </c>
      <c r="KV41" s="24">
        <v>192</v>
      </c>
      <c r="KW41" s="24">
        <v>161066000</v>
      </c>
      <c r="KX41" s="24">
        <v>14</v>
      </c>
      <c r="KY41" s="24">
        <v>19570758</v>
      </c>
      <c r="KZ41" s="24">
        <v>178</v>
      </c>
      <c r="LA41" s="24">
        <v>141495242</v>
      </c>
      <c r="LB41" s="24">
        <v>72574674</v>
      </c>
      <c r="LC41" s="24">
        <v>5875948</v>
      </c>
      <c r="LD41" s="38">
        <v>8.1000000000000003E-2</v>
      </c>
      <c r="LE41" s="24">
        <v>114</v>
      </c>
      <c r="LF41" s="24">
        <v>55940000</v>
      </c>
      <c r="LG41" s="24">
        <v>59</v>
      </c>
      <c r="LH41" s="24">
        <v>52742750</v>
      </c>
      <c r="LI41" s="24">
        <v>233</v>
      </c>
      <c r="LJ41" s="24">
        <v>144692492</v>
      </c>
      <c r="LK41" s="24">
        <v>143551182</v>
      </c>
      <c r="LL41" s="24">
        <v>13566312</v>
      </c>
      <c r="LM41" s="38">
        <v>9.4500000000000001E-2</v>
      </c>
      <c r="LN41" s="24">
        <v>184</v>
      </c>
      <c r="LO41" s="24">
        <v>121050000</v>
      </c>
      <c r="LP41" s="24">
        <v>94</v>
      </c>
      <c r="LQ41" s="24">
        <v>66182436</v>
      </c>
      <c r="LR41" s="24">
        <v>323</v>
      </c>
      <c r="LS41" s="24">
        <v>199560056</v>
      </c>
      <c r="LT41" s="24">
        <v>165728386</v>
      </c>
      <c r="LU41" s="24">
        <v>14618115</v>
      </c>
      <c r="LV41" s="38">
        <v>8.8200000000000001E-2</v>
      </c>
      <c r="LW41" s="24">
        <v>233</v>
      </c>
      <c r="LX41" s="24">
        <v>212520000</v>
      </c>
      <c r="LY41" s="24">
        <v>146</v>
      </c>
      <c r="LZ41" s="24">
        <v>105695172</v>
      </c>
      <c r="MA41" s="24">
        <v>410</v>
      </c>
      <c r="MB41" s="24">
        <v>306384884</v>
      </c>
      <c r="MC41" s="24">
        <v>258720492</v>
      </c>
      <c r="MD41" s="24">
        <v>21980399</v>
      </c>
      <c r="ME41" s="38">
        <v>8.5000000000000006E-2</v>
      </c>
      <c r="MF41" s="24">
        <v>193</v>
      </c>
      <c r="MG41" s="24">
        <v>194650000</v>
      </c>
      <c r="MH41" s="24">
        <v>127</v>
      </c>
      <c r="MI41" s="24">
        <v>121151715</v>
      </c>
      <c r="MJ41" s="24">
        <v>476</v>
      </c>
      <c r="MK41" s="24">
        <v>379883169</v>
      </c>
      <c r="ML41" s="24">
        <v>349593773</v>
      </c>
      <c r="MM41" s="24">
        <v>30090090</v>
      </c>
      <c r="MN41" s="38">
        <v>8.6099999999999996E-2</v>
      </c>
      <c r="MO41" s="24">
        <v>156</v>
      </c>
      <c r="MP41" s="24">
        <v>182170000</v>
      </c>
      <c r="MQ41" s="24">
        <v>132</v>
      </c>
      <c r="MR41" s="24">
        <v>139410550</v>
      </c>
      <c r="MS41" s="24">
        <v>500</v>
      </c>
      <c r="MT41" s="24">
        <v>422642619</v>
      </c>
      <c r="MU41" s="24">
        <v>400454263</v>
      </c>
      <c r="MV41" s="24">
        <v>35484371</v>
      </c>
      <c r="MW41" s="38">
        <v>8.8599999999999998E-2</v>
      </c>
      <c r="MX41" s="24">
        <v>117</v>
      </c>
      <c r="MY41" s="24">
        <v>152690000</v>
      </c>
      <c r="MZ41" s="24">
        <v>135</v>
      </c>
      <c r="NA41" s="24">
        <v>148151589</v>
      </c>
      <c r="NB41" s="24">
        <v>482</v>
      </c>
      <c r="NC41" s="24">
        <v>427181030</v>
      </c>
      <c r="ND41" s="24">
        <v>421017245</v>
      </c>
      <c r="NE41" s="24">
        <v>38049330</v>
      </c>
      <c r="NF41" s="38">
        <v>9.0399999999999994E-2</v>
      </c>
      <c r="NG41" s="24">
        <v>131</v>
      </c>
      <c r="NH41" s="24">
        <v>133930000</v>
      </c>
      <c r="NI41" s="24">
        <v>164</v>
      </c>
      <c r="NJ41" s="24">
        <v>147795887</v>
      </c>
      <c r="NK41" s="24">
        <v>449</v>
      </c>
      <c r="NL41" s="24">
        <v>413315143</v>
      </c>
      <c r="NM41" s="24">
        <v>423936764</v>
      </c>
      <c r="NN41" s="24">
        <v>38268542</v>
      </c>
      <c r="NO41" s="38">
        <v>9.0300000000000005E-2</v>
      </c>
      <c r="NP41" s="24">
        <v>104</v>
      </c>
      <c r="NQ41" s="24">
        <v>99220000</v>
      </c>
      <c r="NR41" s="24">
        <v>128</v>
      </c>
      <c r="NS41" s="24">
        <v>140120269</v>
      </c>
      <c r="NT41" s="24">
        <v>425</v>
      </c>
      <c r="NU41" s="24">
        <v>372414874</v>
      </c>
      <c r="NV41" s="24">
        <v>392203600</v>
      </c>
      <c r="NW41" s="24">
        <v>35479371</v>
      </c>
      <c r="NX41" s="38">
        <v>9.0499999999999997E-2</v>
      </c>
      <c r="NY41" s="24">
        <v>113</v>
      </c>
      <c r="NZ41" s="24">
        <v>83190000</v>
      </c>
      <c r="OA41" s="24">
        <v>112</v>
      </c>
      <c r="OB41" s="24">
        <v>125838062</v>
      </c>
      <c r="OC41" s="24">
        <v>426</v>
      </c>
      <c r="OD41" s="24">
        <v>329766812</v>
      </c>
      <c r="OE41" s="24">
        <v>351208669</v>
      </c>
      <c r="OF41" s="24">
        <v>32292395</v>
      </c>
      <c r="OG41" s="38">
        <v>9.1899999999999996E-2</v>
      </c>
      <c r="OH41" s="24">
        <v>109</v>
      </c>
      <c r="OI41" s="24">
        <v>67020000</v>
      </c>
      <c r="OJ41" s="24">
        <v>154</v>
      </c>
      <c r="OK41" s="24">
        <v>118287250</v>
      </c>
      <c r="OL41" s="24">
        <v>381</v>
      </c>
      <c r="OM41" s="24">
        <v>278499562</v>
      </c>
      <c r="ON41" s="24">
        <v>296000454</v>
      </c>
      <c r="OO41" s="24">
        <v>26525833</v>
      </c>
      <c r="OP41" s="38">
        <v>8.9599999999999999E-2</v>
      </c>
      <c r="OQ41" s="24">
        <v>105</v>
      </c>
      <c r="OR41" s="24">
        <v>59130000</v>
      </c>
      <c r="OS41" s="24">
        <v>154</v>
      </c>
      <c r="OT41" s="24">
        <v>111576580</v>
      </c>
      <c r="OU41" s="24">
        <v>332</v>
      </c>
      <c r="OV41" s="24">
        <v>226052982</v>
      </c>
      <c r="OW41" s="24">
        <v>246315394</v>
      </c>
      <c r="OX41" s="24">
        <v>22810557</v>
      </c>
      <c r="OY41" s="38">
        <v>9.2600000000000002E-2</v>
      </c>
    </row>
    <row r="42" spans="1:424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  <c r="K42" s="24"/>
      <c r="L42" s="24"/>
      <c r="M42" s="24"/>
      <c r="N42" s="24"/>
      <c r="O42" s="24"/>
      <c r="P42" s="24"/>
      <c r="Q42" s="24"/>
      <c r="R42" s="24"/>
      <c r="S42" s="38"/>
      <c r="T42" s="24"/>
      <c r="U42" s="24"/>
      <c r="V42" s="24"/>
      <c r="W42" s="24"/>
      <c r="X42" s="24"/>
      <c r="Y42" s="24"/>
      <c r="Z42" s="24"/>
      <c r="AA42" s="24"/>
      <c r="AB42" s="38"/>
      <c r="AC42" s="24"/>
      <c r="AD42" s="24"/>
      <c r="AE42" s="24"/>
      <c r="AF42" s="24"/>
      <c r="AG42" s="24"/>
      <c r="AH42" s="24"/>
      <c r="AI42" s="24"/>
      <c r="AJ42" s="24"/>
      <c r="AK42" s="38"/>
      <c r="AL42" s="24"/>
      <c r="AM42" s="24"/>
      <c r="AN42" s="24"/>
      <c r="AO42" s="24"/>
      <c r="AP42" s="24"/>
      <c r="AQ42" s="24"/>
      <c r="AR42" s="24"/>
      <c r="AS42" s="24"/>
      <c r="AT42" s="38"/>
      <c r="AU42" s="24"/>
      <c r="AV42" s="24"/>
      <c r="AW42" s="24"/>
      <c r="AX42" s="24"/>
      <c r="AY42" s="24"/>
      <c r="AZ42" s="24"/>
      <c r="BA42" s="24"/>
      <c r="BB42" s="24"/>
      <c r="BC42" s="38"/>
      <c r="BD42" s="24"/>
      <c r="BE42" s="24"/>
      <c r="BF42" s="24"/>
      <c r="BG42" s="24"/>
      <c r="BH42" s="24"/>
      <c r="BI42" s="24"/>
      <c r="BJ42" s="24"/>
      <c r="BK42" s="24"/>
      <c r="BL42" s="38"/>
      <c r="BM42" s="24"/>
      <c r="BN42" s="24"/>
      <c r="BO42" s="24"/>
      <c r="BP42" s="24"/>
      <c r="BQ42" s="24"/>
      <c r="BR42" s="24"/>
      <c r="BS42" s="24"/>
      <c r="BT42" s="24"/>
      <c r="BU42" s="38"/>
      <c r="BV42" s="24"/>
      <c r="BW42" s="24"/>
      <c r="BX42" s="24"/>
      <c r="BY42" s="24"/>
      <c r="BZ42" s="24"/>
      <c r="CA42" s="24"/>
      <c r="CB42" s="24"/>
      <c r="CC42" s="24"/>
      <c r="CD42" s="38"/>
      <c r="CE42" s="24"/>
      <c r="CF42" s="24"/>
      <c r="CG42" s="24"/>
      <c r="CH42" s="24"/>
      <c r="CI42" s="24"/>
      <c r="CJ42" s="24"/>
      <c r="CK42" s="24"/>
      <c r="CL42" s="24"/>
      <c r="CM42" s="38"/>
      <c r="CN42" s="24"/>
      <c r="CO42" s="24"/>
      <c r="CP42" s="24"/>
      <c r="CQ42" s="24"/>
      <c r="CR42" s="24"/>
      <c r="CS42" s="24"/>
      <c r="CT42" s="24"/>
      <c r="CU42" s="24"/>
      <c r="CV42" s="38"/>
      <c r="CW42" s="24"/>
      <c r="CX42" s="24"/>
      <c r="CY42" s="24"/>
      <c r="CZ42" s="24"/>
      <c r="DA42" s="24"/>
      <c r="DB42" s="24"/>
      <c r="DC42" s="24"/>
      <c r="DD42" s="24"/>
      <c r="DE42" s="38"/>
      <c r="DF42" s="24"/>
      <c r="DG42" s="24"/>
      <c r="DH42" s="24"/>
      <c r="DI42" s="24"/>
      <c r="DJ42" s="24"/>
      <c r="DK42" s="24"/>
      <c r="DL42" s="24"/>
      <c r="DM42" s="24"/>
      <c r="DN42" s="38"/>
      <c r="DO42" s="24"/>
      <c r="DP42" s="24"/>
      <c r="DQ42" s="24"/>
      <c r="DR42" s="24"/>
      <c r="DS42" s="24"/>
      <c r="DT42" s="24"/>
      <c r="DU42" s="24"/>
      <c r="DV42" s="24"/>
      <c r="DW42" s="38"/>
      <c r="DX42" s="24"/>
      <c r="DY42" s="24"/>
      <c r="DZ42" s="24"/>
      <c r="EA42" s="24"/>
      <c r="EB42" s="24"/>
      <c r="EC42" s="24"/>
      <c r="ED42" s="24"/>
      <c r="EE42" s="24"/>
      <c r="EF42" s="38"/>
      <c r="EG42" s="24"/>
      <c r="EH42" s="24"/>
      <c r="EI42" s="24"/>
      <c r="EJ42" s="24"/>
      <c r="EK42" s="24"/>
      <c r="EL42" s="24"/>
      <c r="EM42" s="24"/>
      <c r="EN42" s="24"/>
      <c r="EO42" s="38"/>
      <c r="EP42" s="24"/>
      <c r="EQ42" s="24"/>
      <c r="ER42" s="24"/>
      <c r="ES42" s="24"/>
      <c r="ET42" s="24"/>
      <c r="EU42" s="24"/>
      <c r="EV42" s="24"/>
      <c r="EW42" s="24"/>
      <c r="EX42" s="38"/>
      <c r="EY42" s="24"/>
      <c r="EZ42" s="24"/>
      <c r="FA42" s="24"/>
      <c r="FB42" s="24"/>
      <c r="FC42" s="24"/>
      <c r="FD42" s="24"/>
      <c r="FE42" s="24"/>
      <c r="FF42" s="24"/>
      <c r="FG42" s="38"/>
      <c r="FH42" s="24"/>
      <c r="FI42" s="24"/>
      <c r="FJ42" s="24"/>
      <c r="FK42" s="24"/>
      <c r="FL42" s="24"/>
      <c r="FM42" s="24"/>
      <c r="FN42" s="24"/>
      <c r="FO42" s="24"/>
      <c r="FP42" s="38"/>
      <c r="FQ42" s="24"/>
      <c r="FR42" s="24"/>
      <c r="FS42" s="24"/>
      <c r="FT42" s="24"/>
      <c r="FU42" s="24"/>
      <c r="FV42" s="24"/>
      <c r="FW42" s="24"/>
      <c r="FX42" s="24"/>
      <c r="FY42" s="38"/>
      <c r="FZ42" s="24"/>
      <c r="GA42" s="24"/>
      <c r="GB42" s="24"/>
      <c r="GC42" s="24"/>
      <c r="GD42" s="24"/>
      <c r="GE42" s="24"/>
      <c r="GF42" s="24"/>
      <c r="GG42" s="24"/>
      <c r="GH42" s="38"/>
      <c r="GI42" s="24"/>
      <c r="GJ42" s="24"/>
      <c r="GK42" s="24"/>
      <c r="GL42" s="24"/>
      <c r="GM42" s="24"/>
      <c r="GN42" s="24"/>
      <c r="GO42" s="24"/>
      <c r="GP42" s="24"/>
      <c r="GQ42" s="38"/>
      <c r="GR42" s="24"/>
      <c r="GS42" s="24"/>
      <c r="GT42" s="24"/>
      <c r="GU42" s="24"/>
      <c r="GV42" s="24"/>
      <c r="GW42" s="24"/>
      <c r="GX42" s="24"/>
      <c r="GY42" s="24"/>
      <c r="GZ42" s="38"/>
      <c r="HA42" s="24"/>
      <c r="HB42" s="24"/>
      <c r="HC42" s="24"/>
      <c r="HD42" s="24"/>
      <c r="HE42" s="24"/>
      <c r="HF42" s="24"/>
      <c r="HG42" s="24"/>
      <c r="HH42" s="24"/>
      <c r="HI42" s="38"/>
      <c r="HJ42" s="24"/>
      <c r="HK42" s="24"/>
      <c r="HL42" s="24"/>
      <c r="HM42" s="24"/>
      <c r="HN42" s="24"/>
      <c r="HO42" s="24"/>
      <c r="HP42" s="24"/>
      <c r="HQ42" s="24"/>
      <c r="HR42" s="38"/>
      <c r="HS42" s="24">
        <v>27</v>
      </c>
      <c r="HT42" s="24">
        <v>10620000</v>
      </c>
      <c r="HU42" s="24">
        <v>24</v>
      </c>
      <c r="HV42" s="24">
        <v>7874220</v>
      </c>
      <c r="HW42" s="24">
        <v>41</v>
      </c>
      <c r="HX42" s="24">
        <v>14125407</v>
      </c>
      <c r="HY42" s="24">
        <v>11583519</v>
      </c>
      <c r="HZ42" s="24">
        <v>993080</v>
      </c>
      <c r="IA42" s="38">
        <v>8.5699999999999998E-2</v>
      </c>
      <c r="IB42" s="24">
        <v>35</v>
      </c>
      <c r="IC42" s="24">
        <v>14115000</v>
      </c>
      <c r="ID42" s="24">
        <v>27</v>
      </c>
      <c r="IE42" s="24">
        <v>11580759</v>
      </c>
      <c r="IF42" s="24">
        <v>49</v>
      </c>
      <c r="IG42" s="24">
        <v>16659648</v>
      </c>
      <c r="IH42" s="24">
        <v>14388828</v>
      </c>
      <c r="II42" s="24">
        <v>1218310</v>
      </c>
      <c r="IJ42" s="38">
        <v>8.4699999999999998E-2</v>
      </c>
      <c r="IK42" s="24">
        <v>52</v>
      </c>
      <c r="IL42" s="24">
        <v>18585859</v>
      </c>
      <c r="IM42" s="24">
        <v>28</v>
      </c>
      <c r="IN42" s="24">
        <v>12335869</v>
      </c>
      <c r="IO42" s="24">
        <v>73</v>
      </c>
      <c r="IP42" s="24">
        <v>22909638</v>
      </c>
      <c r="IQ42" s="24">
        <v>19024696</v>
      </c>
      <c r="IR42" s="24">
        <v>1597095</v>
      </c>
      <c r="IS42" s="38">
        <v>8.3900000000000002E-2</v>
      </c>
      <c r="IT42" s="24">
        <v>32</v>
      </c>
      <c r="IU42" s="24">
        <v>10755000</v>
      </c>
      <c r="IV42" s="24">
        <v>30</v>
      </c>
      <c r="IW42" s="24">
        <v>12329755</v>
      </c>
      <c r="IX42" s="24">
        <v>75</v>
      </c>
      <c r="IY42" s="24">
        <v>21334883</v>
      </c>
      <c r="IZ42" s="24">
        <v>22038825</v>
      </c>
      <c r="JA42" s="24">
        <v>1884397</v>
      </c>
      <c r="JB42" s="38">
        <v>8.5500000000000007E-2</v>
      </c>
      <c r="JC42" s="24">
        <v>24</v>
      </c>
      <c r="JD42" s="24">
        <v>8900000</v>
      </c>
      <c r="JE42" s="24">
        <v>39</v>
      </c>
      <c r="JF42" s="24">
        <v>14155661</v>
      </c>
      <c r="JG42" s="24">
        <v>60</v>
      </c>
      <c r="JH42" s="24">
        <v>16079222</v>
      </c>
      <c r="JI42" s="24">
        <v>19162084</v>
      </c>
      <c r="JJ42" s="24">
        <v>1618555</v>
      </c>
      <c r="JK42" s="38">
        <v>8.4500000000000006E-2</v>
      </c>
      <c r="JL42" s="24">
        <v>19</v>
      </c>
      <c r="JM42" s="24">
        <v>5100000</v>
      </c>
      <c r="JN42" s="24">
        <v>37</v>
      </c>
      <c r="JO42" s="24">
        <v>10258002</v>
      </c>
      <c r="JP42" s="24">
        <v>42</v>
      </c>
      <c r="JQ42" s="24">
        <v>10921220</v>
      </c>
      <c r="JR42" s="24">
        <v>11755542</v>
      </c>
      <c r="JS42" s="24">
        <v>982380</v>
      </c>
      <c r="JT42" s="38">
        <v>8.3599999999999994E-2</v>
      </c>
      <c r="JU42" s="24">
        <v>44</v>
      </c>
      <c r="JV42" s="24">
        <v>13595000</v>
      </c>
      <c r="JW42" s="24">
        <v>31</v>
      </c>
      <c r="JX42" s="24">
        <v>10037316</v>
      </c>
      <c r="JY42" s="24">
        <v>55</v>
      </c>
      <c r="JZ42" s="24">
        <v>14478904</v>
      </c>
      <c r="KA42" s="24">
        <v>12678632</v>
      </c>
      <c r="KB42" s="24">
        <v>1033813</v>
      </c>
      <c r="KC42" s="38">
        <v>8.1500000000000003E-2</v>
      </c>
      <c r="KD42" s="24">
        <v>47</v>
      </c>
      <c r="KE42" s="24">
        <v>16995000</v>
      </c>
      <c r="KF42" s="24">
        <v>28</v>
      </c>
      <c r="KG42" s="24">
        <v>11326392</v>
      </c>
      <c r="KH42" s="24">
        <v>74</v>
      </c>
      <c r="KI42" s="24">
        <v>20147512</v>
      </c>
      <c r="KJ42" s="24">
        <v>16665207</v>
      </c>
      <c r="KK42" s="24">
        <v>1385006</v>
      </c>
      <c r="KL42" s="38">
        <v>8.3099999999999993E-2</v>
      </c>
      <c r="KM42" s="24">
        <v>30</v>
      </c>
      <c r="KN42" s="24">
        <v>10400000</v>
      </c>
      <c r="KO42" s="24">
        <v>48</v>
      </c>
      <c r="KP42" s="24">
        <v>15529437</v>
      </c>
      <c r="KQ42" s="24">
        <v>56</v>
      </c>
      <c r="KR42" s="24">
        <v>15018075</v>
      </c>
      <c r="KS42" s="24">
        <v>17077278</v>
      </c>
      <c r="KT42" s="24">
        <v>1460066</v>
      </c>
      <c r="KU42" s="38">
        <v>8.5500000000000007E-2</v>
      </c>
      <c r="KV42" s="24">
        <v>0</v>
      </c>
      <c r="KW42" s="24">
        <v>0</v>
      </c>
      <c r="KX42" s="24">
        <v>27</v>
      </c>
      <c r="KY42" s="24">
        <v>8575163</v>
      </c>
      <c r="KZ42" s="24">
        <v>29</v>
      </c>
      <c r="LA42" s="24">
        <v>6442912</v>
      </c>
      <c r="LB42" s="24">
        <v>10152454</v>
      </c>
      <c r="LC42" s="24">
        <v>924300</v>
      </c>
      <c r="LD42" s="38">
        <v>9.0999999999999998E-2</v>
      </c>
      <c r="LE42" s="24">
        <v>0</v>
      </c>
      <c r="LF42" s="24">
        <v>0</v>
      </c>
      <c r="LG42" s="24">
        <v>13</v>
      </c>
      <c r="LH42" s="24">
        <v>3809102</v>
      </c>
      <c r="LI42" s="24">
        <v>16</v>
      </c>
      <c r="LJ42" s="24">
        <v>2633810</v>
      </c>
      <c r="LK42" s="24">
        <v>4394933</v>
      </c>
      <c r="LL42" s="24">
        <v>369719</v>
      </c>
      <c r="LM42" s="38">
        <v>8.4099999999999994E-2</v>
      </c>
      <c r="LN42" s="24"/>
      <c r="LO42" s="24"/>
      <c r="LP42" s="24">
        <v>7</v>
      </c>
      <c r="LQ42" s="24">
        <v>1351782</v>
      </c>
      <c r="LR42" s="24">
        <v>9</v>
      </c>
      <c r="LS42" s="24">
        <v>1282028</v>
      </c>
      <c r="LT42" s="24">
        <v>1795666</v>
      </c>
      <c r="LU42" s="24">
        <v>126142</v>
      </c>
      <c r="LV42" s="38">
        <v>7.0199999999999999E-2</v>
      </c>
      <c r="LW42" s="24"/>
      <c r="LX42" s="24"/>
      <c r="LY42" s="24">
        <v>5</v>
      </c>
      <c r="LZ42" s="24">
        <v>894024</v>
      </c>
      <c r="MA42" s="24">
        <v>4</v>
      </c>
      <c r="MB42" s="24">
        <v>388004</v>
      </c>
      <c r="MC42" s="24">
        <v>619454</v>
      </c>
      <c r="MD42" s="24">
        <v>42020</v>
      </c>
      <c r="ME42" s="38">
        <v>6.7799999999999999E-2</v>
      </c>
      <c r="MF42" s="24"/>
      <c r="MG42" s="24"/>
      <c r="MH42" s="24">
        <v>3</v>
      </c>
      <c r="MI42" s="24">
        <v>308004</v>
      </c>
      <c r="MJ42" s="24">
        <v>1</v>
      </c>
      <c r="MK42" s="24">
        <v>80000</v>
      </c>
      <c r="ML42" s="24">
        <v>173409</v>
      </c>
      <c r="MM42" s="24">
        <v>5268</v>
      </c>
      <c r="MN42" s="38">
        <v>3.04E-2</v>
      </c>
      <c r="MO42" s="24"/>
      <c r="MP42" s="24"/>
      <c r="MQ42" s="24"/>
      <c r="MR42" s="24">
        <v>48000</v>
      </c>
      <c r="MS42" s="24">
        <v>1</v>
      </c>
      <c r="MT42" s="24">
        <v>32000</v>
      </c>
      <c r="MU42" s="24">
        <v>54000</v>
      </c>
      <c r="MV42" s="24"/>
      <c r="MW42" s="38"/>
      <c r="MX42" s="24"/>
      <c r="MY42" s="24"/>
      <c r="MZ42" s="24">
        <v>1</v>
      </c>
      <c r="NA42" s="24">
        <v>32000</v>
      </c>
      <c r="NB42" s="24"/>
      <c r="NC42" s="24"/>
      <c r="ND42" s="24">
        <v>9333</v>
      </c>
      <c r="NE42" s="24"/>
      <c r="NF42" s="38"/>
      <c r="NG42" s="24"/>
      <c r="NH42" s="24"/>
      <c r="NI42" s="24"/>
      <c r="NJ42" s="24"/>
      <c r="NK42" s="24"/>
      <c r="NL42" s="24"/>
      <c r="NM42" s="24"/>
      <c r="NN42" s="24"/>
      <c r="NO42" s="38"/>
      <c r="NP42" s="24"/>
      <c r="NQ42" s="24"/>
      <c r="NR42" s="24"/>
      <c r="NS42" s="24"/>
      <c r="NT42" s="24"/>
      <c r="NU42" s="24"/>
      <c r="NV42" s="24"/>
      <c r="NW42" s="24"/>
      <c r="NX42" s="38"/>
      <c r="NY42" s="24"/>
      <c r="NZ42" s="24"/>
      <c r="OA42" s="24"/>
      <c r="OB42" s="24"/>
      <c r="OC42" s="24"/>
      <c r="OD42" s="24"/>
      <c r="OE42" s="24"/>
      <c r="OF42" s="24"/>
      <c r="OG42" s="38"/>
      <c r="OH42" s="24"/>
      <c r="OI42" s="24"/>
      <c r="OJ42" s="24"/>
      <c r="OK42" s="24"/>
      <c r="OL42" s="24"/>
      <c r="OM42" s="24"/>
      <c r="ON42" s="24"/>
      <c r="OO42" s="24"/>
      <c r="OP42" s="38"/>
      <c r="OQ42" s="24"/>
      <c r="OR42" s="24"/>
      <c r="OS42" s="24"/>
      <c r="OT42" s="24"/>
      <c r="OU42" s="24"/>
      <c r="OV42" s="24"/>
      <c r="OW42" s="24"/>
      <c r="OX42" s="24"/>
      <c r="OY42" s="38"/>
    </row>
    <row r="43" spans="1:424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  <c r="K43" s="24"/>
      <c r="L43" s="24"/>
      <c r="M43" s="24"/>
      <c r="N43" s="24"/>
      <c r="O43" s="24"/>
      <c r="P43" s="24"/>
      <c r="Q43" s="24"/>
      <c r="R43" s="24"/>
      <c r="S43" s="38"/>
      <c r="T43" s="24"/>
      <c r="U43" s="24"/>
      <c r="V43" s="24"/>
      <c r="W43" s="24"/>
      <c r="X43" s="24"/>
      <c r="Y43" s="24"/>
      <c r="Z43" s="24"/>
      <c r="AA43" s="24"/>
      <c r="AB43" s="38"/>
      <c r="AC43" s="24"/>
      <c r="AD43" s="24"/>
      <c r="AE43" s="24"/>
      <c r="AF43" s="24"/>
      <c r="AG43" s="24"/>
      <c r="AH43" s="24"/>
      <c r="AI43" s="24"/>
      <c r="AJ43" s="24"/>
      <c r="AK43" s="38"/>
      <c r="AL43" s="24"/>
      <c r="AM43" s="24"/>
      <c r="AN43" s="24"/>
      <c r="AO43" s="24"/>
      <c r="AP43" s="24"/>
      <c r="AQ43" s="24"/>
      <c r="AR43" s="24"/>
      <c r="AS43" s="24"/>
      <c r="AT43" s="38"/>
      <c r="AU43" s="24"/>
      <c r="AV43" s="24"/>
      <c r="AW43" s="24"/>
      <c r="AX43" s="24"/>
      <c r="AY43" s="24"/>
      <c r="AZ43" s="24"/>
      <c r="BA43" s="24"/>
      <c r="BB43" s="24"/>
      <c r="BC43" s="38"/>
      <c r="BD43" s="24"/>
      <c r="BE43" s="24"/>
      <c r="BF43" s="24"/>
      <c r="BG43" s="24"/>
      <c r="BH43" s="24"/>
      <c r="BI43" s="24"/>
      <c r="BJ43" s="24"/>
      <c r="BK43" s="24"/>
      <c r="BL43" s="38"/>
      <c r="BM43" s="24"/>
      <c r="BN43" s="24"/>
      <c r="BO43" s="24"/>
      <c r="BP43" s="24"/>
      <c r="BQ43" s="24"/>
      <c r="BR43" s="24"/>
      <c r="BS43" s="24"/>
      <c r="BT43" s="24"/>
      <c r="BU43" s="38"/>
      <c r="BV43" s="24"/>
      <c r="BW43" s="24"/>
      <c r="BX43" s="24"/>
      <c r="BY43" s="24"/>
      <c r="BZ43" s="24"/>
      <c r="CA43" s="24"/>
      <c r="CB43" s="24"/>
      <c r="CC43" s="24"/>
      <c r="CD43" s="38"/>
      <c r="CE43" s="24"/>
      <c r="CF43" s="24"/>
      <c r="CG43" s="24"/>
      <c r="CH43" s="24"/>
      <c r="CI43" s="24"/>
      <c r="CJ43" s="24"/>
      <c r="CK43" s="24"/>
      <c r="CL43" s="24"/>
      <c r="CM43" s="38"/>
      <c r="CN43" s="24"/>
      <c r="CO43" s="24"/>
      <c r="CP43" s="24"/>
      <c r="CQ43" s="24"/>
      <c r="CR43" s="24"/>
      <c r="CS43" s="24"/>
      <c r="CT43" s="24"/>
      <c r="CU43" s="24"/>
      <c r="CV43" s="38"/>
      <c r="CW43" s="24"/>
      <c r="CX43" s="24"/>
      <c r="CY43" s="24"/>
      <c r="CZ43" s="24"/>
      <c r="DA43" s="24"/>
      <c r="DB43" s="24"/>
      <c r="DC43" s="24"/>
      <c r="DD43" s="24"/>
      <c r="DE43" s="38"/>
      <c r="DF43" s="24"/>
      <c r="DG43" s="24"/>
      <c r="DH43" s="24"/>
      <c r="DI43" s="24"/>
      <c r="DJ43" s="24"/>
      <c r="DK43" s="24"/>
      <c r="DL43" s="24"/>
      <c r="DM43" s="24"/>
      <c r="DN43" s="38"/>
      <c r="DO43" s="24"/>
      <c r="DP43" s="24"/>
      <c r="DQ43" s="24"/>
      <c r="DR43" s="24"/>
      <c r="DS43" s="24"/>
      <c r="DT43" s="24"/>
      <c r="DU43" s="24"/>
      <c r="DV43" s="24"/>
      <c r="DW43" s="38"/>
      <c r="DX43" s="24"/>
      <c r="DY43" s="24"/>
      <c r="DZ43" s="24"/>
      <c r="EA43" s="24"/>
      <c r="EB43" s="24"/>
      <c r="EC43" s="24"/>
      <c r="ED43" s="24"/>
      <c r="EE43" s="24"/>
      <c r="EF43" s="38"/>
      <c r="EG43" s="24"/>
      <c r="EH43" s="24"/>
      <c r="EI43" s="24"/>
      <c r="EJ43" s="24"/>
      <c r="EK43" s="24"/>
      <c r="EL43" s="24"/>
      <c r="EM43" s="24"/>
      <c r="EN43" s="24"/>
      <c r="EO43" s="38"/>
      <c r="EP43" s="24"/>
      <c r="EQ43" s="24"/>
      <c r="ER43" s="24"/>
      <c r="ES43" s="24"/>
      <c r="ET43" s="24"/>
      <c r="EU43" s="24"/>
      <c r="EV43" s="24"/>
      <c r="EW43" s="24"/>
      <c r="EX43" s="38"/>
      <c r="EY43" s="24"/>
      <c r="EZ43" s="24"/>
      <c r="FA43" s="24"/>
      <c r="FB43" s="24"/>
      <c r="FC43" s="24"/>
      <c r="FD43" s="24"/>
      <c r="FE43" s="24"/>
      <c r="FF43" s="24"/>
      <c r="FG43" s="38"/>
      <c r="FH43" s="24"/>
      <c r="FI43" s="24"/>
      <c r="FJ43" s="24"/>
      <c r="FK43" s="24"/>
      <c r="FL43" s="24"/>
      <c r="FM43" s="24"/>
      <c r="FN43" s="24"/>
      <c r="FO43" s="24"/>
      <c r="FP43" s="38"/>
      <c r="FQ43" s="24"/>
      <c r="FR43" s="24"/>
      <c r="FS43" s="24"/>
      <c r="FT43" s="24"/>
      <c r="FU43" s="24"/>
      <c r="FV43" s="24"/>
      <c r="FW43" s="24"/>
      <c r="FX43" s="24"/>
      <c r="FY43" s="38"/>
      <c r="FZ43" s="24"/>
      <c r="GA43" s="24"/>
      <c r="GB43" s="24"/>
      <c r="GC43" s="24"/>
      <c r="GD43" s="24"/>
      <c r="GE43" s="24"/>
      <c r="GF43" s="24"/>
      <c r="GG43" s="24"/>
      <c r="GH43" s="38"/>
      <c r="GI43" s="24"/>
      <c r="GJ43" s="24"/>
      <c r="GK43" s="24"/>
      <c r="GL43" s="24"/>
      <c r="GM43" s="24"/>
      <c r="GN43" s="24"/>
      <c r="GO43" s="24"/>
      <c r="GP43" s="24"/>
      <c r="GQ43" s="38"/>
      <c r="GR43" s="24"/>
      <c r="GS43" s="24"/>
      <c r="GT43" s="24"/>
      <c r="GU43" s="24"/>
      <c r="GV43" s="24"/>
      <c r="GW43" s="24"/>
      <c r="GX43" s="24"/>
      <c r="GY43" s="24"/>
      <c r="GZ43" s="38"/>
      <c r="HA43" s="24"/>
      <c r="HB43" s="24"/>
      <c r="HC43" s="24"/>
      <c r="HD43" s="24"/>
      <c r="HE43" s="24"/>
      <c r="HF43" s="24"/>
      <c r="HG43" s="24"/>
      <c r="HH43" s="24"/>
      <c r="HI43" s="38"/>
      <c r="HJ43" s="24"/>
      <c r="HK43" s="24"/>
      <c r="HL43" s="24"/>
      <c r="HM43" s="24"/>
      <c r="HN43" s="24"/>
      <c r="HO43" s="24"/>
      <c r="HP43" s="24"/>
      <c r="HQ43" s="24"/>
      <c r="HR43" s="38"/>
      <c r="HS43" s="24">
        <v>10</v>
      </c>
      <c r="HT43" s="24">
        <v>1913000</v>
      </c>
      <c r="HU43" s="24">
        <v>12</v>
      </c>
      <c r="HV43" s="24">
        <v>1686018</v>
      </c>
      <c r="HW43" s="24">
        <v>8</v>
      </c>
      <c r="HX43" s="24">
        <v>1252272</v>
      </c>
      <c r="HY43" s="24">
        <v>1099065</v>
      </c>
      <c r="HZ43" s="24">
        <v>63293</v>
      </c>
      <c r="IA43" s="38">
        <v>5.7599999999999998E-2</v>
      </c>
      <c r="IB43" s="24">
        <v>13</v>
      </c>
      <c r="IC43" s="24">
        <v>7240500</v>
      </c>
      <c r="ID43" s="24">
        <v>9</v>
      </c>
      <c r="IE43" s="24">
        <v>7115597</v>
      </c>
      <c r="IF43" s="24">
        <v>12</v>
      </c>
      <c r="IG43" s="24">
        <v>1377175</v>
      </c>
      <c r="IH43" s="24">
        <v>1924349</v>
      </c>
      <c r="II43" s="24">
        <v>109749</v>
      </c>
      <c r="IJ43" s="38">
        <v>5.7000000000000002E-2</v>
      </c>
      <c r="IK43" s="24">
        <v>16</v>
      </c>
      <c r="IL43" s="24">
        <v>14270000</v>
      </c>
      <c r="IM43" s="24">
        <v>17</v>
      </c>
      <c r="IN43" s="24">
        <v>9307132</v>
      </c>
      <c r="IO43" s="24">
        <v>11</v>
      </c>
      <c r="IP43" s="24">
        <v>6340043</v>
      </c>
      <c r="IQ43" s="24">
        <v>5935875</v>
      </c>
      <c r="IR43" s="24">
        <v>230122</v>
      </c>
      <c r="IS43" s="38">
        <v>3.8800000000000001E-2</v>
      </c>
      <c r="IT43" s="24">
        <v>25</v>
      </c>
      <c r="IU43" s="24">
        <v>20882000</v>
      </c>
      <c r="IV43" s="24">
        <v>22</v>
      </c>
      <c r="IW43" s="24">
        <v>22262319</v>
      </c>
      <c r="IX43" s="24">
        <v>14</v>
      </c>
      <c r="IY43" s="24">
        <v>4959724</v>
      </c>
      <c r="IZ43" s="24">
        <v>4500031</v>
      </c>
      <c r="JA43" s="24">
        <v>293438</v>
      </c>
      <c r="JB43" s="38">
        <v>6.5199999999999994E-2</v>
      </c>
      <c r="JC43" s="24">
        <v>12</v>
      </c>
      <c r="JD43" s="24">
        <v>6553500</v>
      </c>
      <c r="JE43" s="24">
        <v>17</v>
      </c>
      <c r="JF43" s="24">
        <v>8023593</v>
      </c>
      <c r="JG43" s="24">
        <v>9</v>
      </c>
      <c r="JH43" s="24">
        <v>3489631</v>
      </c>
      <c r="JI43" s="24">
        <v>4693358</v>
      </c>
      <c r="JJ43" s="24">
        <v>251843</v>
      </c>
      <c r="JK43" s="38">
        <v>5.3699999999999998E-2</v>
      </c>
      <c r="JL43" s="24">
        <v>9</v>
      </c>
      <c r="JM43" s="24">
        <v>4130000</v>
      </c>
      <c r="JN43" s="24">
        <v>10</v>
      </c>
      <c r="JO43" s="24">
        <v>2808181</v>
      </c>
      <c r="JP43" s="24">
        <v>8</v>
      </c>
      <c r="JQ43" s="24">
        <v>4811450</v>
      </c>
      <c r="JR43" s="24">
        <v>4019559</v>
      </c>
      <c r="JS43" s="24">
        <v>180772</v>
      </c>
      <c r="JT43" s="38">
        <v>4.4999999999999998E-2</v>
      </c>
      <c r="JU43" s="24">
        <v>65</v>
      </c>
      <c r="JV43" s="24">
        <v>29476500</v>
      </c>
      <c r="JW43" s="24">
        <v>49</v>
      </c>
      <c r="JX43" s="24">
        <v>26841929</v>
      </c>
      <c r="JY43" s="24">
        <v>24</v>
      </c>
      <c r="JZ43" s="24">
        <v>7446021</v>
      </c>
      <c r="KA43" s="24">
        <v>13060715</v>
      </c>
      <c r="KB43" s="24">
        <v>449907</v>
      </c>
      <c r="KC43" s="38">
        <v>3.44E-2</v>
      </c>
      <c r="KD43" s="24">
        <v>18</v>
      </c>
      <c r="KE43" s="24">
        <v>6785000</v>
      </c>
      <c r="KF43" s="24">
        <v>24</v>
      </c>
      <c r="KG43" s="24">
        <v>7604285</v>
      </c>
      <c r="KH43" s="24">
        <v>18</v>
      </c>
      <c r="KI43" s="24">
        <v>6626736</v>
      </c>
      <c r="KJ43" s="24">
        <v>8111253</v>
      </c>
      <c r="KK43" s="24">
        <v>269746</v>
      </c>
      <c r="KL43" s="38">
        <v>3.3300000000000003E-2</v>
      </c>
      <c r="KM43" s="24">
        <v>18</v>
      </c>
      <c r="KN43" s="24">
        <v>2470000</v>
      </c>
      <c r="KO43" s="24">
        <v>15</v>
      </c>
      <c r="KP43" s="24">
        <v>5163230</v>
      </c>
      <c r="KQ43" s="24">
        <v>21</v>
      </c>
      <c r="KR43" s="24">
        <v>3933506</v>
      </c>
      <c r="KS43" s="24">
        <v>5283947</v>
      </c>
      <c r="KT43" s="24">
        <v>176190</v>
      </c>
      <c r="KU43" s="38">
        <v>3.3300000000000003E-2</v>
      </c>
      <c r="KV43" s="24">
        <v>0</v>
      </c>
      <c r="KW43" s="24">
        <v>0</v>
      </c>
      <c r="KX43" s="24">
        <v>12</v>
      </c>
      <c r="KY43" s="24">
        <v>2567332</v>
      </c>
      <c r="KZ43" s="24">
        <v>9</v>
      </c>
      <c r="LA43" s="24">
        <v>1366174</v>
      </c>
      <c r="LB43" s="24">
        <v>2443085</v>
      </c>
      <c r="LC43" s="24">
        <v>78909</v>
      </c>
      <c r="LD43" s="38">
        <v>3.2300000000000002E-2</v>
      </c>
      <c r="LE43" s="24"/>
      <c r="LF43" s="24"/>
      <c r="LG43" s="24">
        <v>5</v>
      </c>
      <c r="LH43" s="24">
        <v>1013173</v>
      </c>
      <c r="LI43" s="24">
        <v>4</v>
      </c>
      <c r="LJ43" s="24">
        <v>353001</v>
      </c>
      <c r="LK43" s="24">
        <v>804369</v>
      </c>
      <c r="LL43" s="24">
        <v>24610</v>
      </c>
      <c r="LM43" s="38">
        <v>3.0599999999999999E-2</v>
      </c>
      <c r="LN43" s="24"/>
      <c r="LO43" s="24"/>
      <c r="LP43" s="24">
        <v>4</v>
      </c>
      <c r="LQ43" s="24">
        <v>353001</v>
      </c>
      <c r="LR43" s="24">
        <v>0</v>
      </c>
      <c r="LS43" s="24">
        <v>0</v>
      </c>
      <c r="LT43" s="24">
        <v>108028</v>
      </c>
      <c r="LU43" s="24">
        <v>3850</v>
      </c>
      <c r="LV43" s="38">
        <v>3.56E-2</v>
      </c>
      <c r="LW43" s="24"/>
      <c r="LX43" s="24"/>
      <c r="LY43" s="24"/>
      <c r="LZ43" s="24"/>
      <c r="MA43" s="24"/>
      <c r="MB43" s="24"/>
      <c r="MC43" s="24"/>
      <c r="MD43" s="24"/>
      <c r="ME43" s="38"/>
      <c r="MF43" s="24"/>
      <c r="MG43" s="24"/>
      <c r="MH43" s="24"/>
      <c r="MI43" s="24"/>
      <c r="MJ43" s="24"/>
      <c r="MK43" s="24"/>
      <c r="ML43" s="24"/>
      <c r="MM43" s="24"/>
      <c r="MN43" s="38"/>
      <c r="MO43" s="24"/>
      <c r="MP43" s="24"/>
      <c r="MQ43" s="24"/>
      <c r="MR43" s="24"/>
      <c r="MS43" s="24"/>
      <c r="MT43" s="24"/>
      <c r="MU43" s="24"/>
      <c r="MV43" s="24"/>
      <c r="MW43" s="38"/>
      <c r="MX43" s="24"/>
      <c r="MY43" s="24"/>
      <c r="MZ43" s="24"/>
      <c r="NA43" s="24"/>
      <c r="NB43" s="24"/>
      <c r="NC43" s="24"/>
      <c r="ND43" s="24"/>
      <c r="NE43" s="24"/>
      <c r="NF43" s="38"/>
      <c r="NG43" s="24"/>
      <c r="NH43" s="24"/>
      <c r="NI43" s="24"/>
      <c r="NJ43" s="24"/>
      <c r="NK43" s="24"/>
      <c r="NL43" s="24"/>
      <c r="NM43" s="24"/>
      <c r="NN43" s="24"/>
      <c r="NO43" s="38"/>
      <c r="NP43" s="24"/>
      <c r="NQ43" s="24"/>
      <c r="NR43" s="24"/>
      <c r="NS43" s="24"/>
      <c r="NT43" s="24"/>
      <c r="NU43" s="24"/>
      <c r="NV43" s="24"/>
      <c r="NW43" s="24"/>
      <c r="NX43" s="38"/>
      <c r="NY43" s="24"/>
      <c r="NZ43" s="24"/>
      <c r="OA43" s="24"/>
      <c r="OB43" s="24"/>
      <c r="OC43" s="24"/>
      <c r="OD43" s="24"/>
      <c r="OE43" s="24"/>
      <c r="OF43" s="24"/>
      <c r="OG43" s="38"/>
      <c r="OH43" s="24"/>
      <c r="OI43" s="24"/>
      <c r="OJ43" s="24"/>
      <c r="OK43" s="24"/>
      <c r="OL43" s="24"/>
      <c r="OM43" s="24"/>
      <c r="ON43" s="24"/>
      <c r="OO43" s="24"/>
      <c r="OP43" s="38"/>
      <c r="OQ43" s="24"/>
      <c r="OR43" s="24"/>
      <c r="OS43" s="24"/>
      <c r="OT43" s="24"/>
      <c r="OU43" s="24"/>
      <c r="OV43" s="24"/>
      <c r="OW43" s="24"/>
      <c r="OX43" s="24"/>
      <c r="OY43" s="38"/>
    </row>
    <row r="44" spans="1:424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  <c r="K44" s="24"/>
      <c r="L44" s="24"/>
      <c r="M44" s="24"/>
      <c r="N44" s="24"/>
      <c r="O44" s="24"/>
      <c r="P44" s="24"/>
      <c r="Q44" s="24"/>
      <c r="R44" s="24"/>
      <c r="S44" s="38"/>
      <c r="T44" s="24"/>
      <c r="U44" s="24"/>
      <c r="V44" s="24"/>
      <c r="W44" s="24"/>
      <c r="X44" s="24"/>
      <c r="Y44" s="24"/>
      <c r="Z44" s="24"/>
      <c r="AA44" s="24"/>
      <c r="AB44" s="38"/>
      <c r="AC44" s="24"/>
      <c r="AD44" s="24"/>
      <c r="AE44" s="24"/>
      <c r="AF44" s="24"/>
      <c r="AG44" s="24"/>
      <c r="AH44" s="24"/>
      <c r="AI44" s="24"/>
      <c r="AJ44" s="24"/>
      <c r="AK44" s="38"/>
      <c r="AL44" s="24"/>
      <c r="AM44" s="24"/>
      <c r="AN44" s="24"/>
      <c r="AO44" s="24"/>
      <c r="AP44" s="24"/>
      <c r="AQ44" s="24"/>
      <c r="AR44" s="24"/>
      <c r="AS44" s="24"/>
      <c r="AT44" s="38"/>
      <c r="AU44" s="24"/>
      <c r="AV44" s="24"/>
      <c r="AW44" s="24"/>
      <c r="AX44" s="24"/>
      <c r="AY44" s="24"/>
      <c r="AZ44" s="24"/>
      <c r="BA44" s="24"/>
      <c r="BB44" s="24"/>
      <c r="BC44" s="38"/>
      <c r="BD44" s="24"/>
      <c r="BE44" s="24"/>
      <c r="BF44" s="24"/>
      <c r="BG44" s="24"/>
      <c r="BH44" s="24"/>
      <c r="BI44" s="24"/>
      <c r="BJ44" s="24"/>
      <c r="BK44" s="24"/>
      <c r="BL44" s="38"/>
      <c r="BM44" s="24"/>
      <c r="BN44" s="24"/>
      <c r="BO44" s="24"/>
      <c r="BP44" s="24"/>
      <c r="BQ44" s="24"/>
      <c r="BR44" s="24"/>
      <c r="BS44" s="24"/>
      <c r="BT44" s="24"/>
      <c r="BU44" s="38"/>
      <c r="BV44" s="24"/>
      <c r="BW44" s="24"/>
      <c r="BX44" s="24"/>
      <c r="BY44" s="24"/>
      <c r="BZ44" s="24"/>
      <c r="CA44" s="24"/>
      <c r="CB44" s="24"/>
      <c r="CC44" s="24"/>
      <c r="CD44" s="38"/>
      <c r="CE44" s="24"/>
      <c r="CF44" s="24"/>
      <c r="CG44" s="24"/>
      <c r="CH44" s="24"/>
      <c r="CI44" s="24"/>
      <c r="CJ44" s="24"/>
      <c r="CK44" s="24"/>
      <c r="CL44" s="24"/>
      <c r="CM44" s="38"/>
      <c r="CN44" s="24"/>
      <c r="CO44" s="24"/>
      <c r="CP44" s="24"/>
      <c r="CQ44" s="24"/>
      <c r="CR44" s="24"/>
      <c r="CS44" s="24"/>
      <c r="CT44" s="24"/>
      <c r="CU44" s="24"/>
      <c r="CV44" s="38"/>
      <c r="CW44" s="24"/>
      <c r="CX44" s="24"/>
      <c r="CY44" s="24"/>
      <c r="CZ44" s="24"/>
      <c r="DA44" s="24"/>
      <c r="DB44" s="24"/>
      <c r="DC44" s="24"/>
      <c r="DD44" s="24"/>
      <c r="DE44" s="38"/>
      <c r="DF44" s="24"/>
      <c r="DG44" s="24"/>
      <c r="DH44" s="24"/>
      <c r="DI44" s="24"/>
      <c r="DJ44" s="24"/>
      <c r="DK44" s="24"/>
      <c r="DL44" s="24"/>
      <c r="DM44" s="24"/>
      <c r="DN44" s="38"/>
      <c r="DO44" s="24"/>
      <c r="DP44" s="24"/>
      <c r="DQ44" s="24"/>
      <c r="DR44" s="24"/>
      <c r="DS44" s="24"/>
      <c r="DT44" s="24"/>
      <c r="DU44" s="24"/>
      <c r="DV44" s="24"/>
      <c r="DW44" s="38"/>
      <c r="DX44" s="24"/>
      <c r="DY44" s="24"/>
      <c r="DZ44" s="24"/>
      <c r="EA44" s="24"/>
      <c r="EB44" s="24"/>
      <c r="EC44" s="24"/>
      <c r="ED44" s="24"/>
      <c r="EE44" s="24"/>
      <c r="EF44" s="38"/>
      <c r="EG44" s="24"/>
      <c r="EH44" s="24"/>
      <c r="EI44" s="24"/>
      <c r="EJ44" s="24"/>
      <c r="EK44" s="24"/>
      <c r="EL44" s="24"/>
      <c r="EM44" s="24"/>
      <c r="EN44" s="24"/>
      <c r="EO44" s="38"/>
      <c r="EP44" s="24"/>
      <c r="EQ44" s="24"/>
      <c r="ER44" s="24"/>
      <c r="ES44" s="24"/>
      <c r="ET44" s="24"/>
      <c r="EU44" s="24"/>
      <c r="EV44" s="24"/>
      <c r="EW44" s="24"/>
      <c r="EX44" s="38"/>
      <c r="EY44" s="24"/>
      <c r="EZ44" s="24"/>
      <c r="FA44" s="24"/>
      <c r="FB44" s="24"/>
      <c r="FC44" s="24"/>
      <c r="FD44" s="24"/>
      <c r="FE44" s="24"/>
      <c r="FF44" s="24"/>
      <c r="FG44" s="38"/>
      <c r="FH44" s="24"/>
      <c r="FI44" s="24"/>
      <c r="FJ44" s="24"/>
      <c r="FK44" s="24"/>
      <c r="FL44" s="24"/>
      <c r="FM44" s="24"/>
      <c r="FN44" s="24"/>
      <c r="FO44" s="24"/>
      <c r="FP44" s="38"/>
      <c r="FQ44" s="24"/>
      <c r="FR44" s="24"/>
      <c r="FS44" s="24"/>
      <c r="FT44" s="24"/>
      <c r="FU44" s="24"/>
      <c r="FV44" s="24"/>
      <c r="FW44" s="24"/>
      <c r="FX44" s="24"/>
      <c r="FY44" s="38"/>
      <c r="FZ44" s="24"/>
      <c r="GA44" s="24"/>
      <c r="GB44" s="24"/>
      <c r="GC44" s="24"/>
      <c r="GD44" s="24"/>
      <c r="GE44" s="24"/>
      <c r="GF44" s="24"/>
      <c r="GG44" s="24"/>
      <c r="GH44" s="38"/>
      <c r="GI44" s="24"/>
      <c r="GJ44" s="24"/>
      <c r="GK44" s="24"/>
      <c r="GL44" s="24"/>
      <c r="GM44" s="24"/>
      <c r="GN44" s="24"/>
      <c r="GO44" s="24"/>
      <c r="GP44" s="24"/>
      <c r="GQ44" s="38"/>
      <c r="GR44" s="24"/>
      <c r="GS44" s="24"/>
      <c r="GT44" s="24"/>
      <c r="GU44" s="24"/>
      <c r="GV44" s="24"/>
      <c r="GW44" s="24"/>
      <c r="GX44" s="24"/>
      <c r="GY44" s="24"/>
      <c r="GZ44" s="38"/>
      <c r="HA44" s="24"/>
      <c r="HB44" s="24"/>
      <c r="HC44" s="24"/>
      <c r="HD44" s="24"/>
      <c r="HE44" s="24"/>
      <c r="HF44" s="24"/>
      <c r="HG44" s="24"/>
      <c r="HH44" s="24"/>
      <c r="HI44" s="38"/>
      <c r="HJ44" s="24"/>
      <c r="HK44" s="24"/>
      <c r="HL44" s="24"/>
      <c r="HM44" s="24"/>
      <c r="HN44" s="24"/>
      <c r="HO44" s="24"/>
      <c r="HP44" s="24"/>
      <c r="HQ44" s="24"/>
      <c r="HR44" s="38"/>
      <c r="HS44" s="24">
        <v>26</v>
      </c>
      <c r="HT44" s="24">
        <v>24990000</v>
      </c>
      <c r="HU44" s="24">
        <v>8</v>
      </c>
      <c r="HV44" s="24">
        <v>11729473</v>
      </c>
      <c r="HW44" s="24">
        <v>43</v>
      </c>
      <c r="HX44" s="24">
        <v>36251890</v>
      </c>
      <c r="HY44" s="24">
        <v>28651232</v>
      </c>
      <c r="HZ44" s="24">
        <v>2754475</v>
      </c>
      <c r="IA44" s="38">
        <v>9.6100000000000005E-2</v>
      </c>
      <c r="IB44" s="24">
        <v>31</v>
      </c>
      <c r="IC44" s="24">
        <v>32535000</v>
      </c>
      <c r="ID44" s="24">
        <v>14</v>
      </c>
      <c r="IE44" s="24">
        <v>18301204</v>
      </c>
      <c r="IF44" s="24">
        <v>60</v>
      </c>
      <c r="IG44" s="24">
        <v>50485686</v>
      </c>
      <c r="IH44" s="24">
        <v>43020963</v>
      </c>
      <c r="II44" s="24">
        <v>4131064</v>
      </c>
      <c r="IJ44" s="38">
        <v>9.6000000000000002E-2</v>
      </c>
      <c r="IK44" s="24">
        <v>35</v>
      </c>
      <c r="IL44" s="24">
        <v>40900000</v>
      </c>
      <c r="IM44" s="24">
        <v>19</v>
      </c>
      <c r="IN44" s="24">
        <v>23181962</v>
      </c>
      <c r="IO44" s="24">
        <v>76</v>
      </c>
      <c r="IP44" s="24">
        <v>68203724</v>
      </c>
      <c r="IQ44" s="24">
        <v>62882545</v>
      </c>
      <c r="IR44" s="24">
        <v>6223389</v>
      </c>
      <c r="IS44" s="38">
        <v>9.9000000000000005E-2</v>
      </c>
      <c r="IT44" s="24">
        <v>43</v>
      </c>
      <c r="IU44" s="24">
        <v>51340000</v>
      </c>
      <c r="IV44" s="24">
        <v>29</v>
      </c>
      <c r="IW44" s="24">
        <v>35208160</v>
      </c>
      <c r="IX44" s="24">
        <v>90</v>
      </c>
      <c r="IY44" s="24">
        <v>84335564</v>
      </c>
      <c r="IZ44" s="24">
        <v>75042287</v>
      </c>
      <c r="JA44" s="24">
        <v>7006434</v>
      </c>
      <c r="JB44" s="38">
        <v>9.3399999999999997E-2</v>
      </c>
      <c r="JC44" s="24">
        <v>56</v>
      </c>
      <c r="JD44" s="24">
        <v>67590000</v>
      </c>
      <c r="JE44" s="24">
        <v>34</v>
      </c>
      <c r="JF44" s="24">
        <v>43136507</v>
      </c>
      <c r="JG44" s="24">
        <v>112</v>
      </c>
      <c r="JH44" s="24">
        <v>108789057</v>
      </c>
      <c r="JI44" s="24">
        <v>92410712</v>
      </c>
      <c r="JJ44" s="24">
        <v>8399724</v>
      </c>
      <c r="JK44" s="38">
        <v>9.0899999999999995E-2</v>
      </c>
      <c r="JL44" s="24">
        <v>48</v>
      </c>
      <c r="JM44" s="24">
        <v>59520000</v>
      </c>
      <c r="JN44" s="24">
        <v>36</v>
      </c>
      <c r="JO44" s="24">
        <v>38524705</v>
      </c>
      <c r="JP44" s="24">
        <v>124</v>
      </c>
      <c r="JQ44" s="24">
        <v>129784352</v>
      </c>
      <c r="JR44" s="24">
        <v>117110916</v>
      </c>
      <c r="JS44" s="24">
        <v>10717287</v>
      </c>
      <c r="JT44" s="38">
        <v>9.1499999999999998E-2</v>
      </c>
      <c r="JU44" s="24">
        <v>60</v>
      </c>
      <c r="JV44" s="24">
        <v>56535000</v>
      </c>
      <c r="JW44" s="24">
        <v>39</v>
      </c>
      <c r="JX44" s="24">
        <v>51846532</v>
      </c>
      <c r="JY44" s="24">
        <v>145</v>
      </c>
      <c r="JZ44" s="24">
        <v>134472820</v>
      </c>
      <c r="KA44" s="24">
        <v>130194237</v>
      </c>
      <c r="KB44" s="24">
        <v>12192044</v>
      </c>
      <c r="KC44" s="38">
        <v>9.3600000000000003E-2</v>
      </c>
      <c r="KD44" s="24">
        <v>67</v>
      </c>
      <c r="KE44" s="24">
        <v>74320000</v>
      </c>
      <c r="KF44" s="24">
        <v>42</v>
      </c>
      <c r="KG44" s="24">
        <v>51784130</v>
      </c>
      <c r="KH44" s="24">
        <v>170</v>
      </c>
      <c r="KI44" s="24">
        <v>157008690</v>
      </c>
      <c r="KJ44" s="24">
        <v>146704251</v>
      </c>
      <c r="KK44" s="24">
        <v>13484942</v>
      </c>
      <c r="KL44" s="38">
        <v>9.1899999999999996E-2</v>
      </c>
      <c r="KM44" s="24">
        <v>88</v>
      </c>
      <c r="KN44" s="24">
        <v>85640000</v>
      </c>
      <c r="KO44" s="24">
        <v>55</v>
      </c>
      <c r="KP44" s="24">
        <v>65747278</v>
      </c>
      <c r="KQ44" s="24">
        <v>203</v>
      </c>
      <c r="KR44" s="24">
        <v>176901412</v>
      </c>
      <c r="KS44" s="24">
        <v>162434107</v>
      </c>
      <c r="KT44" s="24">
        <v>15051799</v>
      </c>
      <c r="KU44" s="38">
        <v>9.2700000000000005E-2</v>
      </c>
      <c r="KV44" s="24">
        <v>1</v>
      </c>
      <c r="KW44" s="24">
        <v>800000</v>
      </c>
      <c r="KX44" s="24">
        <v>62</v>
      </c>
      <c r="KY44" s="24">
        <v>61799135</v>
      </c>
      <c r="KZ44" s="24">
        <v>142</v>
      </c>
      <c r="LA44" s="24">
        <v>115902277</v>
      </c>
      <c r="LB44" s="24">
        <v>143917286</v>
      </c>
      <c r="LC44" s="24">
        <v>13563955</v>
      </c>
      <c r="LD44" s="38">
        <v>9.4200000000000006E-2</v>
      </c>
      <c r="LE44" s="24"/>
      <c r="LF44" s="24"/>
      <c r="LG44" s="24">
        <v>37</v>
      </c>
      <c r="LH44" s="24">
        <v>41125983</v>
      </c>
      <c r="LI44" s="24">
        <v>105</v>
      </c>
      <c r="LJ44" s="24">
        <v>74776294</v>
      </c>
      <c r="LK44" s="24">
        <v>96332553</v>
      </c>
      <c r="LL44" s="24">
        <v>9459225</v>
      </c>
      <c r="LM44" s="38">
        <v>9.8199999999999996E-2</v>
      </c>
      <c r="LN44" s="24"/>
      <c r="LO44" s="24"/>
      <c r="LP44" s="24">
        <v>37</v>
      </c>
      <c r="LQ44" s="24">
        <v>31439426</v>
      </c>
      <c r="LR44" s="24">
        <v>68</v>
      </c>
      <c r="LS44" s="24">
        <v>43336868</v>
      </c>
      <c r="LT44" s="24">
        <v>57022133</v>
      </c>
      <c r="LU44" s="24">
        <v>5615307</v>
      </c>
      <c r="LV44" s="38">
        <v>9.8500000000000004E-2</v>
      </c>
      <c r="LW44" s="24"/>
      <c r="LX44" s="24"/>
      <c r="LY44" s="24">
        <v>25</v>
      </c>
      <c r="LZ44" s="24">
        <v>18902601</v>
      </c>
      <c r="MA44" s="24">
        <v>43</v>
      </c>
      <c r="MB44" s="24">
        <v>24434267</v>
      </c>
      <c r="MC44" s="24">
        <v>33507962</v>
      </c>
      <c r="MD44" s="24">
        <v>3022719</v>
      </c>
      <c r="ME44" s="38">
        <v>9.0200000000000002E-2</v>
      </c>
      <c r="MF44" s="24"/>
      <c r="MG44" s="24"/>
      <c r="MH44" s="24">
        <v>11</v>
      </c>
      <c r="MI44" s="24">
        <v>7811727</v>
      </c>
      <c r="MJ44" s="24">
        <v>32</v>
      </c>
      <c r="MK44" s="24">
        <v>16622540</v>
      </c>
      <c r="ML44" s="24">
        <v>20088405</v>
      </c>
      <c r="MM44" s="24">
        <v>1766757</v>
      </c>
      <c r="MN44" s="38">
        <v>8.7900000000000006E-2</v>
      </c>
      <c r="MO44" s="24"/>
      <c r="MP44" s="24"/>
      <c r="MQ44" s="24">
        <v>11</v>
      </c>
      <c r="MR44" s="24">
        <v>6091211</v>
      </c>
      <c r="MS44" s="24">
        <v>21</v>
      </c>
      <c r="MT44" s="24">
        <v>10531329</v>
      </c>
      <c r="MU44" s="24">
        <v>13052844</v>
      </c>
      <c r="MV44" s="24">
        <v>1224214</v>
      </c>
      <c r="MW44" s="38">
        <v>9.3799999999999994E-2</v>
      </c>
      <c r="MX44" s="24"/>
      <c r="MY44" s="24"/>
      <c r="MZ44" s="24">
        <v>4</v>
      </c>
      <c r="NA44" s="24">
        <v>2722081</v>
      </c>
      <c r="NB44" s="24">
        <v>17</v>
      </c>
      <c r="NC44" s="24">
        <v>7809248</v>
      </c>
      <c r="ND44" s="24">
        <v>8929986</v>
      </c>
      <c r="NE44" s="24">
        <v>860658</v>
      </c>
      <c r="NF44" s="38">
        <v>9.64E-2</v>
      </c>
      <c r="NG44" s="24"/>
      <c r="NH44" s="24"/>
      <c r="NI44" s="24">
        <v>6</v>
      </c>
      <c r="NJ44" s="24">
        <v>1752416</v>
      </c>
      <c r="NK44" s="24">
        <v>11</v>
      </c>
      <c r="NL44" s="24">
        <v>6056832</v>
      </c>
      <c r="NM44" s="24">
        <v>6819633</v>
      </c>
      <c r="NN44" s="24">
        <v>640206</v>
      </c>
      <c r="NO44" s="38">
        <v>9.3899999999999997E-2</v>
      </c>
      <c r="NP44" s="24"/>
      <c r="NQ44" s="24"/>
      <c r="NR44" s="24">
        <v>2</v>
      </c>
      <c r="NS44" s="24">
        <v>1420117</v>
      </c>
      <c r="NT44" s="24">
        <v>9</v>
      </c>
      <c r="NU44" s="24">
        <v>4636715</v>
      </c>
      <c r="NV44" s="24">
        <v>5297034</v>
      </c>
      <c r="NW44" s="24">
        <v>500451</v>
      </c>
      <c r="NX44" s="38">
        <v>9.4500000000000001E-2</v>
      </c>
      <c r="NY44" s="24"/>
      <c r="NZ44" s="24"/>
      <c r="OA44" s="24">
        <v>3</v>
      </c>
      <c r="OB44" s="24">
        <v>1544360</v>
      </c>
      <c r="OC44" s="24">
        <v>6</v>
      </c>
      <c r="OD44" s="24">
        <v>3092355</v>
      </c>
      <c r="OE44" s="24">
        <v>3752317</v>
      </c>
      <c r="OF44" s="24">
        <v>348954</v>
      </c>
      <c r="OG44" s="38">
        <v>9.2999999999999999E-2</v>
      </c>
      <c r="OH44" s="24"/>
      <c r="OI44" s="24"/>
      <c r="OJ44" s="24">
        <v>1</v>
      </c>
      <c r="OK44" s="24">
        <v>611466</v>
      </c>
      <c r="OL44" s="24">
        <v>5</v>
      </c>
      <c r="OM44" s="24">
        <v>2480889</v>
      </c>
      <c r="ON44" s="24">
        <v>2731339</v>
      </c>
      <c r="OO44" s="24">
        <v>235592</v>
      </c>
      <c r="OP44" s="38">
        <v>8.6300000000000002E-2</v>
      </c>
      <c r="OQ44" s="24"/>
      <c r="OR44" s="24"/>
      <c r="OS44" s="24">
        <v>1</v>
      </c>
      <c r="OT44" s="24">
        <v>494133</v>
      </c>
      <c r="OU44" s="24">
        <v>4</v>
      </c>
      <c r="OV44" s="24">
        <v>1986756</v>
      </c>
      <c r="OW44" s="24">
        <v>2213366</v>
      </c>
      <c r="OX44" s="24">
        <v>127452</v>
      </c>
      <c r="OY44" s="38">
        <v>5.7599999999999998E-2</v>
      </c>
    </row>
    <row r="45" spans="1:424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  <c r="K45" s="24"/>
      <c r="L45" s="24"/>
      <c r="M45" s="24"/>
      <c r="N45" s="24"/>
      <c r="O45" s="24"/>
      <c r="P45" s="24"/>
      <c r="Q45" s="24"/>
      <c r="R45" s="24"/>
      <c r="S45" s="38"/>
      <c r="T45" s="24"/>
      <c r="U45" s="24"/>
      <c r="V45" s="24"/>
      <c r="W45" s="24"/>
      <c r="X45" s="24"/>
      <c r="Y45" s="24"/>
      <c r="Z45" s="24"/>
      <c r="AA45" s="24"/>
      <c r="AB45" s="38"/>
      <c r="AC45" s="24"/>
      <c r="AD45" s="24"/>
      <c r="AE45" s="24"/>
      <c r="AF45" s="24"/>
      <c r="AG45" s="24"/>
      <c r="AH45" s="24"/>
      <c r="AI45" s="24"/>
      <c r="AJ45" s="24"/>
      <c r="AK45" s="38"/>
      <c r="AL45" s="24"/>
      <c r="AM45" s="24"/>
      <c r="AN45" s="24"/>
      <c r="AO45" s="24"/>
      <c r="AP45" s="24"/>
      <c r="AQ45" s="24"/>
      <c r="AR45" s="24"/>
      <c r="AS45" s="24"/>
      <c r="AT45" s="38"/>
      <c r="AU45" s="24"/>
      <c r="AV45" s="24"/>
      <c r="AW45" s="24"/>
      <c r="AX45" s="24"/>
      <c r="AY45" s="24"/>
      <c r="AZ45" s="24"/>
      <c r="BA45" s="24"/>
      <c r="BB45" s="24"/>
      <c r="BC45" s="38"/>
      <c r="BD45" s="24"/>
      <c r="BE45" s="24"/>
      <c r="BF45" s="24"/>
      <c r="BG45" s="24"/>
      <c r="BH45" s="24"/>
      <c r="BI45" s="24"/>
      <c r="BJ45" s="24"/>
      <c r="BK45" s="24"/>
      <c r="BL45" s="38"/>
      <c r="BM45" s="24"/>
      <c r="BN45" s="24"/>
      <c r="BO45" s="24"/>
      <c r="BP45" s="24"/>
      <c r="BQ45" s="24"/>
      <c r="BR45" s="24"/>
      <c r="BS45" s="24"/>
      <c r="BT45" s="24"/>
      <c r="BU45" s="38"/>
      <c r="BV45" s="24"/>
      <c r="BW45" s="24"/>
      <c r="BX45" s="24"/>
      <c r="BY45" s="24"/>
      <c r="BZ45" s="24"/>
      <c r="CA45" s="24"/>
      <c r="CB45" s="24"/>
      <c r="CC45" s="24"/>
      <c r="CD45" s="38"/>
      <c r="CE45" s="24"/>
      <c r="CF45" s="24"/>
      <c r="CG45" s="24"/>
      <c r="CH45" s="24"/>
      <c r="CI45" s="24"/>
      <c r="CJ45" s="24"/>
      <c r="CK45" s="24"/>
      <c r="CL45" s="24"/>
      <c r="CM45" s="38"/>
      <c r="CN45" s="24"/>
      <c r="CO45" s="24"/>
      <c r="CP45" s="24"/>
      <c r="CQ45" s="24"/>
      <c r="CR45" s="24"/>
      <c r="CS45" s="24"/>
      <c r="CT45" s="24"/>
      <c r="CU45" s="24"/>
      <c r="CV45" s="38"/>
      <c r="CW45" s="24"/>
      <c r="CX45" s="24"/>
      <c r="CY45" s="24"/>
      <c r="CZ45" s="24"/>
      <c r="DA45" s="24"/>
      <c r="DB45" s="24"/>
      <c r="DC45" s="24"/>
      <c r="DD45" s="24"/>
      <c r="DE45" s="38"/>
      <c r="DF45" s="24"/>
      <c r="DG45" s="24"/>
      <c r="DH45" s="24"/>
      <c r="DI45" s="24"/>
      <c r="DJ45" s="24"/>
      <c r="DK45" s="24"/>
      <c r="DL45" s="24"/>
      <c r="DM45" s="24"/>
      <c r="DN45" s="38"/>
      <c r="DO45" s="24"/>
      <c r="DP45" s="24"/>
      <c r="DQ45" s="24"/>
      <c r="DR45" s="24"/>
      <c r="DS45" s="24"/>
      <c r="DT45" s="24"/>
      <c r="DU45" s="24"/>
      <c r="DV45" s="24"/>
      <c r="DW45" s="38"/>
      <c r="DX45" s="24"/>
      <c r="DY45" s="24"/>
      <c r="DZ45" s="24"/>
      <c r="EA45" s="24"/>
      <c r="EB45" s="24"/>
      <c r="EC45" s="24"/>
      <c r="ED45" s="24"/>
      <c r="EE45" s="24"/>
      <c r="EF45" s="38"/>
      <c r="EG45" s="24"/>
      <c r="EH45" s="24"/>
      <c r="EI45" s="24"/>
      <c r="EJ45" s="24"/>
      <c r="EK45" s="24"/>
      <c r="EL45" s="24"/>
      <c r="EM45" s="24"/>
      <c r="EN45" s="24"/>
      <c r="EO45" s="38"/>
      <c r="EP45" s="24"/>
      <c r="EQ45" s="24"/>
      <c r="ER45" s="24"/>
      <c r="ES45" s="24"/>
      <c r="ET45" s="24"/>
      <c r="EU45" s="24"/>
      <c r="EV45" s="24"/>
      <c r="EW45" s="24"/>
      <c r="EX45" s="38"/>
      <c r="EY45" s="24"/>
      <c r="EZ45" s="24"/>
      <c r="FA45" s="24"/>
      <c r="FB45" s="24"/>
      <c r="FC45" s="24"/>
      <c r="FD45" s="24"/>
      <c r="FE45" s="24"/>
      <c r="FF45" s="24"/>
      <c r="FG45" s="38"/>
      <c r="FH45" s="24"/>
      <c r="FI45" s="24"/>
      <c r="FJ45" s="24"/>
      <c r="FK45" s="24"/>
      <c r="FL45" s="24"/>
      <c r="FM45" s="24"/>
      <c r="FN45" s="24"/>
      <c r="FO45" s="24"/>
      <c r="FP45" s="38"/>
      <c r="FQ45" s="24"/>
      <c r="FR45" s="24"/>
      <c r="FS45" s="24"/>
      <c r="FT45" s="24"/>
      <c r="FU45" s="24"/>
      <c r="FV45" s="24"/>
      <c r="FW45" s="24"/>
      <c r="FX45" s="24"/>
      <c r="FY45" s="38"/>
      <c r="FZ45" s="24"/>
      <c r="GA45" s="24"/>
      <c r="GB45" s="24"/>
      <c r="GC45" s="24"/>
      <c r="GD45" s="24"/>
      <c r="GE45" s="24"/>
      <c r="GF45" s="24"/>
      <c r="GG45" s="24"/>
      <c r="GH45" s="38"/>
      <c r="GI45" s="24"/>
      <c r="GJ45" s="24"/>
      <c r="GK45" s="24"/>
      <c r="GL45" s="24"/>
      <c r="GM45" s="24"/>
      <c r="GN45" s="24"/>
      <c r="GO45" s="24"/>
      <c r="GP45" s="24"/>
      <c r="GQ45" s="38"/>
      <c r="GR45" s="24"/>
      <c r="GS45" s="24"/>
      <c r="GT45" s="24"/>
      <c r="GU45" s="24"/>
      <c r="GV45" s="24"/>
      <c r="GW45" s="24"/>
      <c r="GX45" s="24"/>
      <c r="GY45" s="24"/>
      <c r="GZ45" s="38"/>
      <c r="HA45" s="24"/>
      <c r="HB45" s="24"/>
      <c r="HC45" s="24"/>
      <c r="HD45" s="24"/>
      <c r="HE45" s="24"/>
      <c r="HF45" s="24"/>
      <c r="HG45" s="24"/>
      <c r="HH45" s="24"/>
      <c r="HI45" s="38"/>
      <c r="HJ45" s="24"/>
      <c r="HK45" s="24"/>
      <c r="HL45" s="24"/>
      <c r="HM45" s="24"/>
      <c r="HN45" s="24"/>
      <c r="HO45" s="24"/>
      <c r="HP45" s="24"/>
      <c r="HQ45" s="24"/>
      <c r="HR45" s="38"/>
      <c r="HS45" s="24">
        <v>60</v>
      </c>
      <c r="HT45" s="24">
        <v>51180000</v>
      </c>
      <c r="HU45" s="24">
        <v>41</v>
      </c>
      <c r="HV45" s="24">
        <v>33438174</v>
      </c>
      <c r="HW45" s="24">
        <v>109</v>
      </c>
      <c r="HX45" s="24">
        <v>85954854</v>
      </c>
      <c r="HY45" s="24">
        <v>75044787</v>
      </c>
      <c r="HZ45" s="24">
        <v>6824086</v>
      </c>
      <c r="IA45" s="38">
        <v>9.0899999999999995E-2</v>
      </c>
      <c r="IB45" s="24">
        <v>59</v>
      </c>
      <c r="IC45" s="24">
        <v>55890000</v>
      </c>
      <c r="ID45" s="24">
        <v>47</v>
      </c>
      <c r="IE45" s="24">
        <v>39301240</v>
      </c>
      <c r="IF45" s="24">
        <v>121</v>
      </c>
      <c r="IG45" s="24">
        <v>102543614</v>
      </c>
      <c r="IH45" s="24">
        <v>94310228</v>
      </c>
      <c r="II45" s="24">
        <v>8743594</v>
      </c>
      <c r="IJ45" s="38">
        <v>9.2700000000000005E-2</v>
      </c>
      <c r="IK45" s="24">
        <v>67</v>
      </c>
      <c r="IL45" s="24">
        <v>53560200</v>
      </c>
      <c r="IM45" s="24">
        <v>55</v>
      </c>
      <c r="IN45" s="24">
        <v>43452884</v>
      </c>
      <c r="IO45" s="24">
        <v>133</v>
      </c>
      <c r="IP45" s="24">
        <v>112650930</v>
      </c>
      <c r="IQ45" s="24">
        <v>104290383</v>
      </c>
      <c r="IR45" s="24">
        <v>10053711</v>
      </c>
      <c r="IS45" s="38">
        <v>9.64E-2</v>
      </c>
      <c r="IT45" s="24">
        <v>56</v>
      </c>
      <c r="IU45" s="24">
        <v>38590000</v>
      </c>
      <c r="IV45" s="24">
        <v>70</v>
      </c>
      <c r="IW45" s="24">
        <v>60849160</v>
      </c>
      <c r="IX45" s="24">
        <v>119</v>
      </c>
      <c r="IY45" s="24">
        <v>90391770</v>
      </c>
      <c r="IZ45" s="24">
        <v>98624610</v>
      </c>
      <c r="JA45" s="24">
        <v>9547811</v>
      </c>
      <c r="JB45" s="38">
        <v>9.6799999999999997E-2</v>
      </c>
      <c r="JC45" s="24">
        <v>45</v>
      </c>
      <c r="JD45" s="24">
        <v>28900000</v>
      </c>
      <c r="JE45" s="24">
        <v>53</v>
      </c>
      <c r="JF45" s="24">
        <v>43887756</v>
      </c>
      <c r="JG45" s="24">
        <v>111</v>
      </c>
      <c r="JH45" s="24">
        <v>75404014</v>
      </c>
      <c r="JI45" s="24">
        <v>84714092</v>
      </c>
      <c r="JJ45" s="24">
        <v>8021164</v>
      </c>
      <c r="JK45" s="38">
        <v>9.4700000000000006E-2</v>
      </c>
      <c r="JL45" s="24">
        <v>41</v>
      </c>
      <c r="JM45" s="24">
        <v>23500000</v>
      </c>
      <c r="JN45" s="24">
        <v>49</v>
      </c>
      <c r="JO45" s="24">
        <v>36647095</v>
      </c>
      <c r="JP45" s="24">
        <v>103</v>
      </c>
      <c r="JQ45" s="24">
        <v>62256919</v>
      </c>
      <c r="JR45" s="24">
        <v>68458212</v>
      </c>
      <c r="JS45" s="24">
        <v>6368140</v>
      </c>
      <c r="JT45" s="38">
        <v>9.2999999999999999E-2</v>
      </c>
      <c r="JU45" s="24">
        <v>49</v>
      </c>
      <c r="JV45" s="24">
        <v>23920000</v>
      </c>
      <c r="JW45" s="24">
        <v>49</v>
      </c>
      <c r="JX45" s="24">
        <v>30780855</v>
      </c>
      <c r="JY45" s="24">
        <v>103</v>
      </c>
      <c r="JZ45" s="24">
        <v>55396064</v>
      </c>
      <c r="KA45" s="24">
        <v>58268993</v>
      </c>
      <c r="KB45" s="24">
        <v>5291618</v>
      </c>
      <c r="KC45" s="38">
        <v>9.0800000000000006E-2</v>
      </c>
      <c r="KD45" s="24">
        <v>54</v>
      </c>
      <c r="KE45" s="24">
        <v>30670000</v>
      </c>
      <c r="KF45" s="24">
        <v>44</v>
      </c>
      <c r="KG45" s="24">
        <v>25557178</v>
      </c>
      <c r="KH45" s="24">
        <v>113</v>
      </c>
      <c r="KI45" s="24">
        <v>60508886</v>
      </c>
      <c r="KJ45" s="24">
        <v>56347932</v>
      </c>
      <c r="KK45" s="24">
        <v>4764087</v>
      </c>
      <c r="KL45" s="38">
        <v>8.4500000000000006E-2</v>
      </c>
      <c r="KM45" s="24">
        <v>41</v>
      </c>
      <c r="KN45" s="24">
        <v>23230000</v>
      </c>
      <c r="KO45" s="24">
        <v>49</v>
      </c>
      <c r="KP45" s="24">
        <v>30332616</v>
      </c>
      <c r="KQ45" s="24">
        <v>105</v>
      </c>
      <c r="KR45" s="24">
        <v>53406270</v>
      </c>
      <c r="KS45" s="24">
        <v>57193231</v>
      </c>
      <c r="KT45" s="24">
        <v>4725101</v>
      </c>
      <c r="KU45" s="38">
        <v>8.2600000000000007E-2</v>
      </c>
      <c r="KV45" s="24">
        <v>0</v>
      </c>
      <c r="KW45" s="24">
        <v>0</v>
      </c>
      <c r="KX45" s="24">
        <v>39</v>
      </c>
      <c r="KY45" s="24">
        <v>22108439</v>
      </c>
      <c r="KZ45" s="24">
        <v>66</v>
      </c>
      <c r="LA45" s="24">
        <v>31297831</v>
      </c>
      <c r="LB45" s="24">
        <v>41775113</v>
      </c>
      <c r="LC45" s="24">
        <v>3636173</v>
      </c>
      <c r="LD45" s="38">
        <v>8.6999999999999994E-2</v>
      </c>
      <c r="LE45" s="24"/>
      <c r="LF45" s="24"/>
      <c r="LG45" s="24">
        <v>26</v>
      </c>
      <c r="LH45" s="24">
        <v>13496531</v>
      </c>
      <c r="LI45" s="24">
        <v>40</v>
      </c>
      <c r="LJ45" s="24">
        <v>17801300</v>
      </c>
      <c r="LK45" s="24">
        <v>25177958</v>
      </c>
      <c r="LL45" s="24">
        <v>2189327</v>
      </c>
      <c r="LM45" s="38">
        <v>8.6999999999999994E-2</v>
      </c>
      <c r="LN45" s="24"/>
      <c r="LO45" s="24"/>
      <c r="LP45" s="24">
        <v>19</v>
      </c>
      <c r="LQ45" s="24">
        <v>6427104</v>
      </c>
      <c r="LR45" s="24">
        <v>21</v>
      </c>
      <c r="LS45" s="24">
        <v>11374196</v>
      </c>
      <c r="LT45" s="24">
        <v>14453459</v>
      </c>
      <c r="LU45" s="24">
        <v>1154317</v>
      </c>
      <c r="LV45" s="38">
        <v>7.9899999999999999E-2</v>
      </c>
      <c r="LW45" s="24"/>
      <c r="LX45" s="24"/>
      <c r="LY45" s="24">
        <v>7</v>
      </c>
      <c r="LZ45" s="24">
        <v>4861059</v>
      </c>
      <c r="MA45" s="24">
        <v>14</v>
      </c>
      <c r="MB45" s="24">
        <v>6513137</v>
      </c>
      <c r="MC45" s="24">
        <v>9239577</v>
      </c>
      <c r="MD45" s="24">
        <v>759769</v>
      </c>
      <c r="ME45" s="38">
        <v>8.2199999999999995E-2</v>
      </c>
      <c r="MF45" s="24"/>
      <c r="MG45" s="24"/>
      <c r="MH45" s="24">
        <v>5</v>
      </c>
      <c r="MI45" s="24">
        <v>2616748</v>
      </c>
      <c r="MJ45" s="24">
        <v>9</v>
      </c>
      <c r="MK45" s="24">
        <v>3896389</v>
      </c>
      <c r="ML45" s="24">
        <v>4948657</v>
      </c>
      <c r="MM45" s="24">
        <v>449192</v>
      </c>
      <c r="MN45" s="38">
        <v>9.0800000000000006E-2</v>
      </c>
      <c r="MO45" s="24"/>
      <c r="MP45" s="24"/>
      <c r="MQ45" s="24">
        <v>4</v>
      </c>
      <c r="MR45" s="24">
        <v>1203020</v>
      </c>
      <c r="MS45" s="24">
        <v>5</v>
      </c>
      <c r="MT45" s="24">
        <v>2693369</v>
      </c>
      <c r="MU45" s="24">
        <v>3161194</v>
      </c>
      <c r="MV45" s="24">
        <v>266928</v>
      </c>
      <c r="MW45" s="38">
        <v>8.4400000000000003E-2</v>
      </c>
      <c r="MX45" s="24"/>
      <c r="MY45" s="24"/>
      <c r="MZ45" s="24">
        <v>2</v>
      </c>
      <c r="NA45" s="24">
        <v>1865830</v>
      </c>
      <c r="NB45" s="24">
        <v>3</v>
      </c>
      <c r="NC45" s="24">
        <v>827539</v>
      </c>
      <c r="ND45" s="24">
        <v>1905239</v>
      </c>
      <c r="NE45" s="24">
        <v>214793</v>
      </c>
      <c r="NF45" s="38">
        <v>0.11269999999999999</v>
      </c>
      <c r="NG45" s="24"/>
      <c r="NH45" s="24"/>
      <c r="NI45" s="24">
        <v>1</v>
      </c>
      <c r="NJ45" s="24">
        <v>500514</v>
      </c>
      <c r="NK45" s="24">
        <v>2</v>
      </c>
      <c r="NL45" s="24">
        <v>327025</v>
      </c>
      <c r="NM45" s="24">
        <v>548794</v>
      </c>
      <c r="NN45" s="24">
        <v>53648</v>
      </c>
      <c r="NO45" s="38">
        <v>9.7799999999999998E-2</v>
      </c>
      <c r="NP45" s="24"/>
      <c r="NQ45" s="24"/>
      <c r="NR45" s="24">
        <v>2</v>
      </c>
      <c r="NS45" s="24">
        <v>327025</v>
      </c>
      <c r="NT45" s="24"/>
      <c r="NU45" s="24"/>
      <c r="NV45" s="24">
        <v>93354</v>
      </c>
      <c r="NW45" s="24">
        <v>11138</v>
      </c>
      <c r="NX45" s="38">
        <v>0.1193</v>
      </c>
      <c r="NY45" s="24"/>
      <c r="NZ45" s="24"/>
      <c r="OA45" s="24"/>
      <c r="OB45" s="24"/>
      <c r="OC45" s="24"/>
      <c r="OD45" s="24"/>
      <c r="OE45" s="24"/>
      <c r="OF45" s="24"/>
      <c r="OG45" s="38"/>
      <c r="OH45" s="24"/>
      <c r="OI45" s="24"/>
      <c r="OJ45" s="24"/>
      <c r="OK45" s="24"/>
      <c r="OL45" s="24"/>
      <c r="OM45" s="24"/>
      <c r="ON45" s="24"/>
      <c r="OO45" s="24"/>
      <c r="OP45" s="38"/>
      <c r="OQ45" s="24"/>
      <c r="OR45" s="24"/>
      <c r="OS45" s="24"/>
      <c r="OT45" s="24"/>
      <c r="OU45" s="24"/>
      <c r="OV45" s="24"/>
      <c r="OW45" s="24"/>
      <c r="OX45" s="24"/>
      <c r="OY45" s="38"/>
    </row>
    <row r="46" spans="1:424" x14ac:dyDescent="0.2">
      <c r="A46" s="35" t="s">
        <v>69</v>
      </c>
      <c r="B46" s="24">
        <v>5</v>
      </c>
      <c r="C46" s="24">
        <v>950000</v>
      </c>
      <c r="D46" s="24">
        <v>4</v>
      </c>
      <c r="E46" s="24">
        <v>746000</v>
      </c>
      <c r="F46" s="24">
        <v>4</v>
      </c>
      <c r="G46" s="24">
        <v>440000</v>
      </c>
      <c r="H46" s="24"/>
      <c r="I46" s="24">
        <v>21000</v>
      </c>
      <c r="J46" s="38"/>
      <c r="K46" s="24">
        <v>1000</v>
      </c>
      <c r="L46" s="24">
        <v>30000000</v>
      </c>
      <c r="M46" s="24">
        <v>700</v>
      </c>
      <c r="N46" s="24">
        <v>13000000</v>
      </c>
      <c r="O46" s="24">
        <v>376</v>
      </c>
      <c r="P46" s="24">
        <v>20012000</v>
      </c>
      <c r="Q46" s="24">
        <v>26000000</v>
      </c>
      <c r="R46" s="24">
        <v>3120000</v>
      </c>
      <c r="S46" s="38">
        <v>0.12</v>
      </c>
      <c r="T46" s="24">
        <v>685</v>
      </c>
      <c r="U46" s="24">
        <v>18069910</v>
      </c>
      <c r="V46" s="24"/>
      <c r="W46" s="24"/>
      <c r="X46" s="24"/>
      <c r="Y46" s="24"/>
      <c r="Z46" s="24"/>
      <c r="AA46" s="24"/>
      <c r="AB46" s="38"/>
      <c r="AC46" s="24">
        <v>553</v>
      </c>
      <c r="AD46" s="24">
        <v>23605235</v>
      </c>
      <c r="AE46" s="24"/>
      <c r="AF46" s="24"/>
      <c r="AG46" s="24">
        <v>1219</v>
      </c>
      <c r="AH46" s="24">
        <v>35978000</v>
      </c>
      <c r="AI46" s="24"/>
      <c r="AJ46" s="24"/>
      <c r="AK46" s="38"/>
      <c r="AL46" s="24">
        <v>2840</v>
      </c>
      <c r="AM46" s="24">
        <f>13000000+129000000</f>
        <v>142000000</v>
      </c>
      <c r="AN46" s="24"/>
      <c r="AO46" s="24">
        <v>87209000</v>
      </c>
      <c r="AP46" s="24"/>
      <c r="AQ46" s="24">
        <v>90769000</v>
      </c>
      <c r="AR46" s="24">
        <v>63000000</v>
      </c>
      <c r="AS46" s="24">
        <v>7560000</v>
      </c>
      <c r="AT46" s="38">
        <v>0.12</v>
      </c>
      <c r="AU46" s="24">
        <v>907</v>
      </c>
      <c r="AV46" s="24">
        <v>45262756</v>
      </c>
      <c r="AW46" s="24"/>
      <c r="AX46" s="24">
        <v>59625500</v>
      </c>
      <c r="AY46" s="24">
        <v>1741</v>
      </c>
      <c r="AZ46" s="24">
        <v>21615682</v>
      </c>
      <c r="BA46" s="24">
        <v>29737534</v>
      </c>
      <c r="BB46" s="24">
        <v>3607000</v>
      </c>
      <c r="BC46" s="38"/>
      <c r="BD46" s="24">
        <v>168</v>
      </c>
      <c r="BE46" s="24">
        <v>14167195</v>
      </c>
      <c r="BF46" s="24"/>
      <c r="BG46" s="24">
        <v>18293856</v>
      </c>
      <c r="BH46" s="24">
        <v>1689</v>
      </c>
      <c r="BI46" s="24">
        <v>17489021</v>
      </c>
      <c r="BJ46" s="24">
        <v>20843436</v>
      </c>
      <c r="BK46" s="24">
        <v>308000</v>
      </c>
      <c r="BL46" s="38"/>
      <c r="BM46" s="24">
        <v>51</v>
      </c>
      <c r="BN46" s="24">
        <v>2371000</v>
      </c>
      <c r="BO46" s="24">
        <v>337</v>
      </c>
      <c r="BP46" s="24">
        <v>9220801</v>
      </c>
      <c r="BQ46" s="24">
        <v>87</v>
      </c>
      <c r="BR46" s="24">
        <v>12881092</v>
      </c>
      <c r="BS46" s="24">
        <v>16316287</v>
      </c>
      <c r="BT46" s="24">
        <v>1646000</v>
      </c>
      <c r="BU46" s="38"/>
      <c r="BV46" s="24">
        <v>84</v>
      </c>
      <c r="BW46" s="24">
        <v>5843000</v>
      </c>
      <c r="BX46" s="24">
        <v>129</v>
      </c>
      <c r="BY46" s="24">
        <v>16284207</v>
      </c>
      <c r="BZ46" s="24">
        <v>42</v>
      </c>
      <c r="CA46" s="24">
        <v>2439885</v>
      </c>
      <c r="CB46" s="24">
        <v>10711416</v>
      </c>
      <c r="CC46" s="24">
        <v>376000</v>
      </c>
      <c r="CD46" s="38"/>
      <c r="CE46" s="24"/>
      <c r="CF46" s="24"/>
      <c r="CG46" s="24"/>
      <c r="CH46" s="24"/>
      <c r="CI46" s="24"/>
      <c r="CJ46" s="24"/>
      <c r="CK46" s="24"/>
      <c r="CL46" s="24"/>
      <c r="CM46" s="38"/>
      <c r="CN46" s="24"/>
      <c r="CO46" s="24"/>
      <c r="CP46" s="24"/>
      <c r="CQ46" s="24"/>
      <c r="CR46" s="24"/>
      <c r="CS46" s="24"/>
      <c r="CT46" s="24"/>
      <c r="CU46" s="24"/>
      <c r="CV46" s="38"/>
      <c r="CW46" s="24"/>
      <c r="CX46" s="24"/>
      <c r="CY46" s="24"/>
      <c r="CZ46" s="24"/>
      <c r="DA46" s="24"/>
      <c r="DB46" s="24"/>
      <c r="DC46" s="24"/>
      <c r="DD46" s="24"/>
      <c r="DE46" s="38"/>
      <c r="DF46" s="24"/>
      <c r="DG46" s="24"/>
      <c r="DH46" s="24"/>
      <c r="DI46" s="24"/>
      <c r="DJ46" s="24"/>
      <c r="DK46" s="24"/>
      <c r="DL46" s="24"/>
      <c r="DM46" s="24"/>
      <c r="DN46" s="38"/>
      <c r="DO46" s="24"/>
      <c r="DP46" s="24"/>
      <c r="DQ46" s="24"/>
      <c r="DR46" s="24"/>
      <c r="DS46" s="24"/>
      <c r="DT46" s="24"/>
      <c r="DU46" s="24"/>
      <c r="DV46" s="24"/>
      <c r="DW46" s="38"/>
      <c r="DX46" s="24"/>
      <c r="DY46" s="24"/>
      <c r="DZ46" s="24"/>
      <c r="EA46" s="24"/>
      <c r="EB46" s="24"/>
      <c r="EC46" s="24"/>
      <c r="ED46" s="24"/>
      <c r="EE46" s="24"/>
      <c r="EF46" s="38"/>
      <c r="EG46" s="24"/>
      <c r="EH46" s="24"/>
      <c r="EI46" s="24"/>
      <c r="EJ46" s="24"/>
      <c r="EK46" s="24"/>
      <c r="EL46" s="24"/>
      <c r="EM46" s="24"/>
      <c r="EN46" s="24"/>
      <c r="EO46" s="38"/>
      <c r="EP46" s="24"/>
      <c r="EQ46" s="24"/>
      <c r="ER46" s="24"/>
      <c r="ES46" s="24"/>
      <c r="ET46" s="24"/>
      <c r="EU46" s="24"/>
      <c r="EV46" s="24"/>
      <c r="EW46" s="24"/>
      <c r="EX46" s="38"/>
      <c r="EY46" s="24"/>
      <c r="EZ46" s="24"/>
      <c r="FA46" s="24"/>
      <c r="FB46" s="24"/>
      <c r="FC46" s="24"/>
      <c r="FD46" s="24"/>
      <c r="FE46" s="24"/>
      <c r="FF46" s="24"/>
      <c r="FG46" s="38"/>
      <c r="FH46" s="24"/>
      <c r="FI46" s="24"/>
      <c r="FJ46" s="24"/>
      <c r="FK46" s="24"/>
      <c r="FL46" s="24"/>
      <c r="FM46" s="24"/>
      <c r="FN46" s="24"/>
      <c r="FO46" s="24"/>
      <c r="FP46" s="38"/>
      <c r="FQ46" s="24"/>
      <c r="FR46" s="24"/>
      <c r="FS46" s="24"/>
      <c r="FT46" s="24"/>
      <c r="FU46" s="24"/>
      <c r="FV46" s="24"/>
      <c r="FW46" s="24"/>
      <c r="FX46" s="24"/>
      <c r="FY46" s="38"/>
      <c r="FZ46" s="24"/>
      <c r="GA46" s="24"/>
      <c r="GB46" s="24"/>
      <c r="GC46" s="24"/>
      <c r="GD46" s="24"/>
      <c r="GE46" s="24"/>
      <c r="GF46" s="24"/>
      <c r="GG46" s="24"/>
      <c r="GH46" s="38"/>
      <c r="GI46" s="24"/>
      <c r="GJ46" s="24"/>
      <c r="GK46" s="24"/>
      <c r="GL46" s="24"/>
      <c r="GM46" s="24"/>
      <c r="GN46" s="24"/>
      <c r="GO46" s="24"/>
      <c r="GP46" s="24"/>
      <c r="GQ46" s="38"/>
      <c r="GR46" s="24"/>
      <c r="GS46" s="24"/>
      <c r="GT46" s="24"/>
      <c r="GU46" s="24"/>
      <c r="GV46" s="24"/>
      <c r="GW46" s="24"/>
      <c r="GX46" s="24"/>
      <c r="GY46" s="24"/>
      <c r="GZ46" s="38"/>
      <c r="HA46" s="24"/>
      <c r="HB46" s="24"/>
      <c r="HC46" s="24"/>
      <c r="HD46" s="24"/>
      <c r="HE46" s="24"/>
      <c r="HF46" s="24"/>
      <c r="HG46" s="24"/>
      <c r="HH46" s="24"/>
      <c r="HI46" s="38"/>
      <c r="HJ46" s="24"/>
      <c r="HK46" s="24"/>
      <c r="HL46" s="24"/>
      <c r="HM46" s="24"/>
      <c r="HN46" s="24"/>
      <c r="HO46" s="24"/>
      <c r="HP46" s="24"/>
      <c r="HQ46" s="24"/>
      <c r="HR46" s="38"/>
      <c r="HS46" s="24"/>
      <c r="HT46" s="24"/>
      <c r="HU46" s="24"/>
      <c r="HV46" s="24"/>
      <c r="HW46" s="24"/>
      <c r="HX46" s="24"/>
      <c r="HY46" s="24"/>
      <c r="HZ46" s="24"/>
      <c r="IA46" s="38"/>
      <c r="IB46" s="24"/>
      <c r="IC46" s="24"/>
      <c r="ID46" s="24"/>
      <c r="IE46" s="24"/>
      <c r="IF46" s="24"/>
      <c r="IG46" s="24"/>
      <c r="IH46" s="24"/>
      <c r="II46" s="24"/>
      <c r="IJ46" s="38"/>
      <c r="IK46" s="24"/>
      <c r="IL46" s="24"/>
      <c r="IM46" s="24"/>
      <c r="IN46" s="24"/>
      <c r="IO46" s="24"/>
      <c r="IP46" s="24"/>
      <c r="IQ46" s="24"/>
      <c r="IR46" s="24"/>
      <c r="IS46" s="38"/>
      <c r="IT46" s="24"/>
      <c r="IU46" s="24"/>
      <c r="IV46" s="24"/>
      <c r="IW46" s="24"/>
      <c r="IX46" s="24"/>
      <c r="IY46" s="24"/>
      <c r="IZ46" s="24"/>
      <c r="JA46" s="24"/>
      <c r="JB46" s="38"/>
      <c r="JC46" s="24"/>
      <c r="JD46" s="24"/>
      <c r="JE46" s="24"/>
      <c r="JF46" s="24"/>
      <c r="JG46" s="24"/>
      <c r="JH46" s="24"/>
      <c r="JI46" s="24"/>
      <c r="JJ46" s="24"/>
      <c r="JK46" s="38"/>
      <c r="JL46" s="24"/>
      <c r="JM46" s="24"/>
      <c r="JN46" s="24"/>
      <c r="JO46" s="24"/>
      <c r="JP46" s="24"/>
      <c r="JQ46" s="24"/>
      <c r="JR46" s="24"/>
      <c r="JS46" s="24"/>
      <c r="JT46" s="38"/>
      <c r="JU46" s="24"/>
      <c r="JV46" s="24"/>
      <c r="JW46" s="24"/>
      <c r="JX46" s="24"/>
      <c r="JY46" s="24"/>
      <c r="JZ46" s="24"/>
      <c r="KA46" s="24"/>
      <c r="KB46" s="24"/>
      <c r="KC46" s="38"/>
      <c r="KD46" s="24"/>
      <c r="KE46" s="24"/>
      <c r="KF46" s="24"/>
      <c r="KG46" s="24"/>
      <c r="KH46" s="24"/>
      <c r="KI46" s="24"/>
      <c r="KJ46" s="24"/>
      <c r="KK46" s="24"/>
      <c r="KL46" s="38"/>
      <c r="KM46" s="24"/>
      <c r="KN46" s="24"/>
      <c r="KO46" s="24"/>
      <c r="KP46" s="24"/>
      <c r="KQ46" s="24"/>
      <c r="KR46" s="24"/>
      <c r="KS46" s="24"/>
      <c r="KT46" s="24"/>
      <c r="KU46" s="38"/>
      <c r="KV46" s="24"/>
      <c r="KW46" s="24"/>
      <c r="KX46" s="24"/>
      <c r="KY46" s="24"/>
      <c r="KZ46" s="24"/>
      <c r="LA46" s="24"/>
      <c r="LB46" s="24"/>
      <c r="LC46" s="24"/>
      <c r="LD46" s="38"/>
      <c r="LE46" s="24"/>
      <c r="LF46" s="24"/>
      <c r="LG46" s="24"/>
      <c r="LH46" s="24"/>
      <c r="LI46" s="24"/>
      <c r="LJ46" s="24"/>
      <c r="LK46" s="24"/>
      <c r="LL46" s="24"/>
      <c r="LM46" s="38"/>
      <c r="LN46" s="24"/>
      <c r="LO46" s="24"/>
      <c r="LP46" s="24"/>
      <c r="LQ46" s="24"/>
      <c r="LR46" s="24"/>
      <c r="LS46" s="24"/>
      <c r="LT46" s="24"/>
      <c r="LU46" s="24"/>
      <c r="LV46" s="38"/>
      <c r="LW46" s="24"/>
      <c r="LX46" s="24"/>
      <c r="LY46" s="24"/>
      <c r="LZ46" s="24"/>
      <c r="MA46" s="24"/>
      <c r="MB46" s="24"/>
      <c r="MC46" s="24"/>
      <c r="MD46" s="24"/>
      <c r="ME46" s="38"/>
      <c r="MF46" s="24"/>
      <c r="MG46" s="24"/>
      <c r="MH46" s="24"/>
      <c r="MI46" s="24"/>
      <c r="MJ46" s="24"/>
      <c r="MK46" s="24"/>
      <c r="ML46" s="24"/>
      <c r="MM46" s="24"/>
      <c r="MN46" s="38"/>
      <c r="MO46" s="24"/>
      <c r="MP46" s="24"/>
      <c r="MQ46" s="24"/>
      <c r="MR46" s="24"/>
      <c r="MS46" s="24"/>
      <c r="MT46" s="24"/>
      <c r="MU46" s="24"/>
      <c r="MV46" s="24"/>
      <c r="MW46" s="38"/>
      <c r="MX46" s="24"/>
      <c r="MY46" s="24"/>
      <c r="MZ46" s="24"/>
      <c r="NA46" s="24"/>
      <c r="NB46" s="24"/>
      <c r="NC46" s="24"/>
      <c r="ND46" s="24"/>
      <c r="NE46" s="24"/>
      <c r="NF46" s="38"/>
      <c r="NG46" s="24"/>
      <c r="NH46" s="24"/>
      <c r="NI46" s="24"/>
      <c r="NJ46" s="24"/>
      <c r="NK46" s="24"/>
      <c r="NL46" s="24"/>
      <c r="NM46" s="24"/>
      <c r="NN46" s="24"/>
      <c r="NO46" s="38"/>
      <c r="NP46" s="24"/>
      <c r="NQ46" s="24"/>
      <c r="NR46" s="24"/>
      <c r="NS46" s="24"/>
      <c r="NT46" s="24"/>
      <c r="NU46" s="24"/>
      <c r="NV46" s="24"/>
      <c r="NW46" s="24"/>
      <c r="NX46" s="38"/>
      <c r="NY46" s="24"/>
      <c r="NZ46" s="24"/>
      <c r="OA46" s="24"/>
      <c r="OB46" s="24"/>
      <c r="OC46" s="24"/>
      <c r="OD46" s="24"/>
      <c r="OE46" s="24"/>
      <c r="OF46" s="24"/>
      <c r="OG46" s="38"/>
      <c r="OH46" s="24"/>
      <c r="OI46" s="24"/>
      <c r="OJ46" s="24"/>
      <c r="OK46" s="24"/>
      <c r="OL46" s="24"/>
      <c r="OM46" s="24"/>
      <c r="ON46" s="24"/>
      <c r="OO46" s="24"/>
      <c r="OP46" s="38"/>
      <c r="OQ46" s="24"/>
      <c r="OR46" s="24"/>
      <c r="OS46" s="24"/>
      <c r="OT46" s="24"/>
      <c r="OU46" s="24"/>
      <c r="OV46" s="24"/>
      <c r="OW46" s="24"/>
      <c r="OX46" s="24"/>
      <c r="OY46" s="38"/>
    </row>
    <row r="47" spans="1:424" s="26" customFormat="1" x14ac:dyDescent="0.2">
      <c r="A47" s="36" t="s">
        <v>73</v>
      </c>
      <c r="B47" s="25">
        <f>SUM(B39:B46)</f>
        <v>5</v>
      </c>
      <c r="C47" s="25">
        <f t="shared" ref="C47" si="500">SUM(C39:C46)</f>
        <v>950000</v>
      </c>
      <c r="D47" s="25">
        <f t="shared" ref="D47" si="501">SUM(D39:D46)</f>
        <v>4</v>
      </c>
      <c r="E47" s="25">
        <f t="shared" ref="E47" si="502">SUM(E39:E46)</f>
        <v>746000</v>
      </c>
      <c r="F47" s="25">
        <f t="shared" ref="F47" si="503">SUM(F39:F46)</f>
        <v>4</v>
      </c>
      <c r="G47" s="25">
        <f t="shared" ref="G47" si="504">SUM(G39:G46)</f>
        <v>440000</v>
      </c>
      <c r="H47" s="25">
        <f t="shared" ref="H47" si="505">SUM(H39:H46)</f>
        <v>0</v>
      </c>
      <c r="I47" s="25">
        <f t="shared" ref="I47" si="506">SUM(I39:I46)</f>
        <v>21000</v>
      </c>
      <c r="J47" s="39" t="str">
        <f>IF(SUM(J39:J46)=0,"",SUM(J39:J46)/COUNT(J39:J46))</f>
        <v/>
      </c>
      <c r="K47" s="25">
        <f>SUM(K39:K46)</f>
        <v>1000</v>
      </c>
      <c r="L47" s="25">
        <f t="shared" ref="L47" si="507">SUM(L39:L46)</f>
        <v>30000000</v>
      </c>
      <c r="M47" s="25">
        <f t="shared" ref="M47" si="508">SUM(M39:M46)</f>
        <v>700</v>
      </c>
      <c r="N47" s="25">
        <f t="shared" ref="N47" si="509">SUM(N39:N46)</f>
        <v>13000000</v>
      </c>
      <c r="O47" s="25">
        <f t="shared" ref="O47" si="510">SUM(O39:O46)</f>
        <v>376</v>
      </c>
      <c r="P47" s="25">
        <f t="shared" ref="P47" si="511">SUM(P39:P46)</f>
        <v>20012000</v>
      </c>
      <c r="Q47" s="25">
        <f t="shared" ref="Q47" si="512">SUM(Q39:Q46)</f>
        <v>26000000</v>
      </c>
      <c r="R47" s="25">
        <f t="shared" ref="R47" si="513">SUM(R39:R46)</f>
        <v>3120000</v>
      </c>
      <c r="S47" s="39">
        <f>IF(SUM(S39:S46)=0,"",SUM(S39:S46)/COUNT(S39:S46))</f>
        <v>0.12</v>
      </c>
      <c r="T47" s="25">
        <f>SUM(T39:T46)</f>
        <v>685</v>
      </c>
      <c r="U47" s="25">
        <f t="shared" ref="U47" si="514">SUM(U39:U46)</f>
        <v>18069910</v>
      </c>
      <c r="V47" s="25">
        <f t="shared" ref="V47" si="515">SUM(V39:V46)</f>
        <v>0</v>
      </c>
      <c r="W47" s="25">
        <f t="shared" ref="W47" si="516">SUM(W39:W46)</f>
        <v>0</v>
      </c>
      <c r="X47" s="25">
        <f t="shared" ref="X47" si="517">SUM(X39:X46)</f>
        <v>0</v>
      </c>
      <c r="Y47" s="25">
        <f t="shared" ref="Y47" si="518">SUM(Y39:Y46)</f>
        <v>0</v>
      </c>
      <c r="Z47" s="25">
        <f t="shared" ref="Z47" si="519">SUM(Z39:Z46)</f>
        <v>0</v>
      </c>
      <c r="AA47" s="25">
        <f t="shared" ref="AA47" si="520">SUM(AA39:AA46)</f>
        <v>0</v>
      </c>
      <c r="AB47" s="39" t="str">
        <f>IF(SUM(AB39:AB46)=0,"",SUM(AB39:AB46)/COUNT(AB39:AB46))</f>
        <v/>
      </c>
      <c r="AC47" s="25">
        <f>SUM(AC39:AC46)</f>
        <v>553</v>
      </c>
      <c r="AD47" s="25">
        <f t="shared" ref="AD47" si="521">SUM(AD39:AD46)</f>
        <v>23605235</v>
      </c>
      <c r="AE47" s="25">
        <f t="shared" ref="AE47" si="522">SUM(AE39:AE46)</f>
        <v>0</v>
      </c>
      <c r="AF47" s="25">
        <f t="shared" ref="AF47" si="523">SUM(AF39:AF46)</f>
        <v>0</v>
      </c>
      <c r="AG47" s="25">
        <f t="shared" ref="AG47" si="524">SUM(AG39:AG46)</f>
        <v>1220</v>
      </c>
      <c r="AH47" s="25">
        <f t="shared" ref="AH47" si="525">SUM(AH39:AH46)</f>
        <v>36818000</v>
      </c>
      <c r="AI47" s="25">
        <f t="shared" ref="AI47" si="526">SUM(AI39:AI46)</f>
        <v>0</v>
      </c>
      <c r="AJ47" s="25">
        <f t="shared" ref="AJ47" si="527">SUM(AJ39:AJ46)</f>
        <v>0</v>
      </c>
      <c r="AK47" s="39" t="str">
        <f>IF(SUM(AK39:AK46)=0,"",SUM(AK39:AK46)/COUNT(AK39:AK46))</f>
        <v/>
      </c>
      <c r="AL47" s="25">
        <f>SUM(AL39:AL46)</f>
        <v>2852</v>
      </c>
      <c r="AM47" s="25">
        <f t="shared" ref="AM47" si="528">SUM(AM39:AM46)</f>
        <v>154000000</v>
      </c>
      <c r="AN47" s="25">
        <f t="shared" ref="AN47" si="529">SUM(AN39:AN46)</f>
        <v>0</v>
      </c>
      <c r="AO47" s="25">
        <f t="shared" ref="AO47" si="530">SUM(AO39:AO46)</f>
        <v>88108000</v>
      </c>
      <c r="AP47" s="25">
        <f t="shared" ref="AP47" si="531">SUM(AP39:AP46)</f>
        <v>0</v>
      </c>
      <c r="AQ47" s="25">
        <f t="shared" ref="AQ47" si="532">SUM(AQ39:AQ46)</f>
        <v>102710000</v>
      </c>
      <c r="AR47" s="25">
        <f t="shared" ref="AR47" si="533">SUM(AR39:AR46)</f>
        <v>73500000</v>
      </c>
      <c r="AS47" s="25">
        <f t="shared" ref="AS47" si="534">SUM(AS39:AS46)</f>
        <v>8526000</v>
      </c>
      <c r="AT47" s="39">
        <f>IF(SUM(AT39:AT46)=0,"",SUM(AT39:AT46)/COUNT(AT39:AT46))</f>
        <v>0.106</v>
      </c>
      <c r="AU47" s="25">
        <f>SUM(AU39:AU46)</f>
        <v>908</v>
      </c>
      <c r="AV47" s="25">
        <f t="shared" ref="AV47" si="535">SUM(AV39:AV46)</f>
        <v>45862756</v>
      </c>
      <c r="AW47" s="25">
        <f t="shared" ref="AW47" si="536">SUM(AW39:AW46)</f>
        <v>0</v>
      </c>
      <c r="AX47" s="25">
        <f t="shared" ref="AX47" si="537">SUM(AX39:AX46)</f>
        <v>59768296</v>
      </c>
      <c r="AY47" s="25">
        <f t="shared" ref="AY47" si="538">SUM(AY39:AY46)</f>
        <v>1743</v>
      </c>
      <c r="AZ47" s="25">
        <f t="shared" ref="AZ47" si="539">SUM(AZ39:AZ46)</f>
        <v>22912886</v>
      </c>
      <c r="BA47" s="25">
        <f t="shared" ref="BA47" si="540">SUM(BA39:BA46)</f>
        <v>31097465</v>
      </c>
      <c r="BB47" s="25">
        <f t="shared" ref="BB47" si="541">SUM(BB39:BB46)</f>
        <v>3743000</v>
      </c>
      <c r="BC47" s="39" t="str">
        <f>IF(SUM(BC39:BC46)=0,"",SUM(BC39:BC46)/COUNT(BC39:BC46))</f>
        <v/>
      </c>
      <c r="BD47" s="25">
        <f>SUM(BD39:BD46)</f>
        <v>169</v>
      </c>
      <c r="BE47" s="25">
        <f t="shared" ref="BE47" si="542">SUM(BE39:BE46)</f>
        <v>15967195</v>
      </c>
      <c r="BF47" s="25">
        <f t="shared" ref="BF47" si="543">SUM(BF39:BF46)</f>
        <v>0</v>
      </c>
      <c r="BG47" s="25">
        <f t="shared" ref="BG47" si="544">SUM(BG39:BG46)</f>
        <v>18474959</v>
      </c>
      <c r="BH47" s="25">
        <f t="shared" ref="BH47" si="545">SUM(BH39:BH46)</f>
        <v>1692</v>
      </c>
      <c r="BI47" s="25">
        <f t="shared" ref="BI47" si="546">SUM(BI39:BI46)</f>
        <v>20405122</v>
      </c>
      <c r="BJ47" s="25">
        <f t="shared" ref="BJ47" si="547">SUM(BJ39:BJ46)</f>
        <v>38665381</v>
      </c>
      <c r="BK47" s="25">
        <f t="shared" ref="BK47" si="548">SUM(BK39:BK46)</f>
        <v>483000</v>
      </c>
      <c r="BL47" s="39" t="str">
        <f>IF(SUM(BL39:BL46)=0,"",SUM(BL39:BL46)/COUNT(BL39:BL46))</f>
        <v/>
      </c>
      <c r="BM47" s="25">
        <f>SUM(BM39:BM46)</f>
        <v>51</v>
      </c>
      <c r="BN47" s="25">
        <f t="shared" ref="BN47" si="549">SUM(BN39:BN46)</f>
        <v>2371000</v>
      </c>
      <c r="BO47" s="25">
        <f t="shared" ref="BO47" si="550">SUM(BO39:BO46)</f>
        <v>337</v>
      </c>
      <c r="BP47" s="25">
        <f t="shared" ref="BP47" si="551">SUM(BP39:BP46)</f>
        <v>9463081</v>
      </c>
      <c r="BQ47" s="25">
        <f t="shared" ref="BQ47" si="552">SUM(BQ39:BQ46)</f>
        <v>90</v>
      </c>
      <c r="BR47" s="25">
        <f t="shared" ref="BR47" si="553">SUM(BR39:BR46)</f>
        <v>15508435</v>
      </c>
      <c r="BS47" s="25">
        <f t="shared" ref="BS47" si="554">SUM(BS39:BS46)</f>
        <v>19065002</v>
      </c>
      <c r="BT47" s="25">
        <f t="shared" ref="BT47" si="555">SUM(BT39:BT46)</f>
        <v>1893000</v>
      </c>
      <c r="BU47" s="39" t="str">
        <f>IF(SUM(BU39:BU46)=0,"",SUM(BU39:BU46)/COUNT(BU39:BU46))</f>
        <v/>
      </c>
      <c r="BV47" s="25">
        <f>SUM(BV39:BV46)</f>
        <v>87</v>
      </c>
      <c r="BW47" s="25">
        <f t="shared" ref="BW47" si="556">SUM(BW39:BW46)</f>
        <v>9143000</v>
      </c>
      <c r="BX47" s="25">
        <f t="shared" ref="BX47" si="557">SUM(BX39:BX46)</f>
        <v>129</v>
      </c>
      <c r="BY47" s="25">
        <f t="shared" ref="BY47" si="558">SUM(BY39:BY46)</f>
        <v>17035365</v>
      </c>
      <c r="BZ47" s="25">
        <f t="shared" ref="BZ47" si="559">SUM(BZ39:BZ46)</f>
        <v>48</v>
      </c>
      <c r="CA47" s="25">
        <f t="shared" ref="CA47" si="560">SUM(CA39:CA46)</f>
        <v>7616070</v>
      </c>
      <c r="CB47" s="25">
        <f t="shared" ref="CB47" si="561">SUM(CB39:CB46)</f>
        <v>15666166</v>
      </c>
      <c r="CC47" s="25">
        <f t="shared" ref="CC47" si="562">SUM(CC39:CC46)</f>
        <v>742000</v>
      </c>
      <c r="CD47" s="39" t="str">
        <f>IF(SUM(CD39:CD46)=0,"",SUM(CD39:CD46)/COUNT(CD39:CD46))</f>
        <v/>
      </c>
      <c r="CE47" s="25">
        <f>SUM(CE39:CE46)</f>
        <v>0</v>
      </c>
      <c r="CF47" s="25">
        <f t="shared" ref="CF47" si="563">SUM(CF39:CF46)</f>
        <v>0</v>
      </c>
      <c r="CG47" s="25">
        <f t="shared" ref="CG47" si="564">SUM(CG39:CG46)</f>
        <v>0</v>
      </c>
      <c r="CH47" s="25">
        <f t="shared" ref="CH47" si="565">SUM(CH39:CH46)</f>
        <v>0</v>
      </c>
      <c r="CI47" s="25">
        <f t="shared" ref="CI47" si="566">SUM(CI39:CI46)</f>
        <v>0</v>
      </c>
      <c r="CJ47" s="25">
        <f t="shared" ref="CJ47" si="567">SUM(CJ39:CJ46)</f>
        <v>9951000</v>
      </c>
      <c r="CK47" s="25">
        <f t="shared" ref="CK47" si="568">SUM(CK39:CK46)</f>
        <v>0</v>
      </c>
      <c r="CL47" s="25">
        <f t="shared" ref="CL47" si="569">SUM(CL39:CL46)</f>
        <v>0</v>
      </c>
      <c r="CM47" s="39" t="str">
        <f>IF(SUM(CM39:CM46)=0,"",SUM(CM39:CM46)/COUNT(CM39:CM46))</f>
        <v/>
      </c>
      <c r="CN47" s="25">
        <f>SUM(CN39:CN46)</f>
        <v>0</v>
      </c>
      <c r="CO47" s="25">
        <f t="shared" ref="CO47" si="570">SUM(CO39:CO46)</f>
        <v>0</v>
      </c>
      <c r="CP47" s="25">
        <f t="shared" ref="CP47" si="571">SUM(CP39:CP46)</f>
        <v>0</v>
      </c>
      <c r="CQ47" s="25">
        <f t="shared" ref="CQ47" si="572">SUM(CQ39:CQ46)</f>
        <v>0</v>
      </c>
      <c r="CR47" s="25">
        <f t="shared" ref="CR47" si="573">SUM(CR39:CR46)</f>
        <v>0</v>
      </c>
      <c r="CS47" s="25">
        <f t="shared" ref="CS47" si="574">SUM(CS39:CS46)</f>
        <v>11428000</v>
      </c>
      <c r="CT47" s="25">
        <f t="shared" ref="CT47" si="575">SUM(CT39:CT46)</f>
        <v>0</v>
      </c>
      <c r="CU47" s="25">
        <f t="shared" ref="CU47" si="576">SUM(CU39:CU46)</f>
        <v>0</v>
      </c>
      <c r="CV47" s="39" t="str">
        <f>IF(SUM(CV39:CV46)=0,"",SUM(CV39:CV46)/COUNT(CV39:CV46))</f>
        <v/>
      </c>
      <c r="CW47" s="25">
        <f>SUM(CW39:CW46)</f>
        <v>0</v>
      </c>
      <c r="CX47" s="25">
        <f t="shared" ref="CX47" si="577">SUM(CX39:CX46)</f>
        <v>0</v>
      </c>
      <c r="CY47" s="25">
        <f t="shared" ref="CY47" si="578">SUM(CY39:CY46)</f>
        <v>0</v>
      </c>
      <c r="CZ47" s="25">
        <f t="shared" ref="CZ47" si="579">SUM(CZ39:CZ46)</f>
        <v>0</v>
      </c>
      <c r="DA47" s="25">
        <f t="shared" ref="DA47" si="580">SUM(DA39:DA46)</f>
        <v>0</v>
      </c>
      <c r="DB47" s="25">
        <f t="shared" ref="DB47" si="581">SUM(DB39:DB46)</f>
        <v>31140000</v>
      </c>
      <c r="DC47" s="25">
        <f t="shared" ref="DC47" si="582">SUM(DC39:DC46)</f>
        <v>0</v>
      </c>
      <c r="DD47" s="25">
        <f t="shared" ref="DD47" si="583">SUM(DD39:DD46)</f>
        <v>0</v>
      </c>
      <c r="DE47" s="39" t="str">
        <f>IF(SUM(DE39:DE46)=0,"",SUM(DE39:DE46)/COUNT(DE39:DE46))</f>
        <v/>
      </c>
      <c r="DF47" s="25">
        <f>SUM(DF39:DF46)</f>
        <v>119</v>
      </c>
      <c r="DG47" s="25">
        <f t="shared" ref="DG47" si="584">SUM(DG39:DG46)</f>
        <v>43400000</v>
      </c>
      <c r="DH47" s="25">
        <f t="shared" ref="DH47" si="585">SUM(DH39:DH46)</f>
        <v>40</v>
      </c>
      <c r="DI47" s="25">
        <f t="shared" ref="DI47" si="586">SUM(DI39:DI46)</f>
        <v>24296000</v>
      </c>
      <c r="DJ47" s="25">
        <f t="shared" ref="DJ47" si="587">SUM(DJ39:DJ46)</f>
        <v>146</v>
      </c>
      <c r="DK47" s="25">
        <f t="shared" ref="DK47" si="588">SUM(DK39:DK46)</f>
        <v>50244000</v>
      </c>
      <c r="DL47" s="25">
        <f t="shared" ref="DL47" si="589">SUM(DL39:DL46)</f>
        <v>40692000</v>
      </c>
      <c r="DM47" s="25">
        <f t="shared" ref="DM47" si="590">SUM(DM39:DM46)</f>
        <v>5898000</v>
      </c>
      <c r="DN47" s="39">
        <f>IF(SUM(DN39:DN46)=0,"",SUM(DN39:DN46)/COUNT(DN39:DN46))</f>
        <v>0.1449</v>
      </c>
      <c r="DO47" s="25">
        <f>SUM(DO39:DO46)</f>
        <v>169</v>
      </c>
      <c r="DP47" s="25">
        <f t="shared" ref="DP47" si="591">SUM(DP39:DP46)</f>
        <v>88214000</v>
      </c>
      <c r="DQ47" s="25">
        <f t="shared" ref="DQ47" si="592">SUM(DQ39:DQ46)</f>
        <v>101</v>
      </c>
      <c r="DR47" s="25">
        <f t="shared" ref="DR47" si="593">SUM(DR39:DR46)</f>
        <v>44562440</v>
      </c>
      <c r="DS47" s="25">
        <f t="shared" ref="DS47" si="594">SUM(DS39:DS46)</f>
        <v>214</v>
      </c>
      <c r="DT47" s="25">
        <f t="shared" ref="DT47" si="595">SUM(DT39:DT46)</f>
        <v>93896006</v>
      </c>
      <c r="DU47" s="25">
        <f t="shared" ref="DU47" si="596">SUM(DU39:DU46)</f>
        <v>66067877</v>
      </c>
      <c r="DV47" s="25">
        <f t="shared" ref="DV47" si="597">SUM(DV39:DV46)</f>
        <v>9334273</v>
      </c>
      <c r="DW47" s="39">
        <f>IF(SUM(DW39:DW46)=0,"",SUM(DW39:DW46)/COUNT(DW39:DW46))</f>
        <v>0.14119999999999999</v>
      </c>
      <c r="DX47" s="25">
        <f>SUM(DX39:DX46)</f>
        <v>180</v>
      </c>
      <c r="DY47" s="25">
        <f t="shared" ref="DY47" si="598">SUM(DY39:DY46)</f>
        <v>118396898</v>
      </c>
      <c r="DZ47" s="25">
        <f t="shared" ref="DZ47" si="599">SUM(DZ39:DZ46)</f>
        <v>126</v>
      </c>
      <c r="EA47" s="25">
        <f t="shared" ref="EA47" si="600">SUM(EA39:EA46)</f>
        <v>78805292</v>
      </c>
      <c r="EB47" s="25">
        <f t="shared" ref="EB47" si="601">SUM(EB39:EB46)</f>
        <v>268</v>
      </c>
      <c r="EC47" s="25">
        <f t="shared" ref="EC47" si="602">SUM(EC39:EC46)</f>
        <v>133487612</v>
      </c>
      <c r="ED47" s="25">
        <f t="shared" ref="ED47" si="603">SUM(ED39:ED46)</f>
        <v>104077450</v>
      </c>
      <c r="EE47" s="25">
        <f t="shared" ref="EE47" si="604">SUM(EE39:EE46)</f>
        <v>14524639</v>
      </c>
      <c r="EF47" s="39">
        <f>IF(SUM(EF39:EF46)=0,"",SUM(EF39:EF46)/COUNT(EF39:EF46))</f>
        <v>0.1396</v>
      </c>
      <c r="EG47" s="25">
        <f>SUM(EG39:EG46)</f>
        <v>279</v>
      </c>
      <c r="EH47" s="25">
        <f t="shared" ref="EH47" si="605">SUM(EH39:EH46)</f>
        <v>235889239</v>
      </c>
      <c r="EI47" s="25">
        <f t="shared" ref="EI47" si="606">SUM(EI39:EI46)</f>
        <v>162</v>
      </c>
      <c r="EJ47" s="25">
        <f t="shared" ref="EJ47" si="607">SUM(EJ39:EJ46)</f>
        <v>121430528</v>
      </c>
      <c r="EK47" s="25">
        <f t="shared" ref="EK47" si="608">SUM(EK39:EK46)</f>
        <v>385</v>
      </c>
      <c r="EL47" s="25">
        <f t="shared" ref="EL47" si="609">SUM(EL39:EL46)</f>
        <v>247946323</v>
      </c>
      <c r="EM47" s="25">
        <f t="shared" ref="EM47" si="610">SUM(EM39:EM46)</f>
        <v>182390479</v>
      </c>
      <c r="EN47" s="25">
        <f t="shared" ref="EN47" si="611">SUM(EN39:EN46)</f>
        <v>25857666</v>
      </c>
      <c r="EO47" s="39">
        <f>IF(SUM(EO39:EO46)=0,"",SUM(EO39:EO46)/COUNT(EO39:EO46))</f>
        <v>0.14169999999999999</v>
      </c>
      <c r="EP47" s="25">
        <f>SUM(EP39:EP46)</f>
        <v>186</v>
      </c>
      <c r="EQ47" s="25">
        <f t="shared" ref="EQ47" si="612">SUM(EQ39:EQ46)</f>
        <v>153086368</v>
      </c>
      <c r="ER47" s="25">
        <f t="shared" ref="ER47" si="613">SUM(ER39:ER46)</f>
        <v>193</v>
      </c>
      <c r="ES47" s="25">
        <f t="shared" ref="ES47" si="614">SUM(ES39:ES46)</f>
        <v>151887153</v>
      </c>
      <c r="ET47" s="25">
        <f t="shared" ref="ET47" si="615">SUM(ET39:ET46)</f>
        <v>378</v>
      </c>
      <c r="EU47" s="25">
        <f t="shared" ref="EU47" si="616">SUM(EU39:EU46)</f>
        <v>249162538</v>
      </c>
      <c r="EV47" s="25">
        <f t="shared" ref="EV47" si="617">SUM(EV39:EV46)</f>
        <v>255607371</v>
      </c>
      <c r="EW47" s="25">
        <f t="shared" ref="EW47" si="618">SUM(EW39:EW46)</f>
        <v>31913924</v>
      </c>
      <c r="EX47" s="39">
        <f>IF(SUM(EX39:EX46)=0,"",SUM(EX39:EX46)/COUNT(EX39:EX46))</f>
        <v>0.1245</v>
      </c>
      <c r="EY47" s="25">
        <f>SUM(EY39:EY46)</f>
        <v>192</v>
      </c>
      <c r="EZ47" s="25">
        <f t="shared" ref="EZ47" si="619">SUM(EZ39:EZ46)</f>
        <v>196991049</v>
      </c>
      <c r="FA47" s="25">
        <f t="shared" ref="FA47" si="620">SUM(FA39:FA46)</f>
        <v>220</v>
      </c>
      <c r="FB47" s="25">
        <f t="shared" ref="FB47" si="621">SUM(FB39:FB46)</f>
        <v>168790657</v>
      </c>
      <c r="FC47" s="25">
        <f t="shared" ref="FC47" si="622">SUM(FC39:FC46)</f>
        <v>350</v>
      </c>
      <c r="FD47" s="25">
        <f t="shared" ref="FD47" si="623">SUM(FD39:FD46)</f>
        <v>277362930</v>
      </c>
      <c r="FE47" s="25">
        <f t="shared" ref="FE47" si="624">SUM(FE39:FE46)</f>
        <v>248819302</v>
      </c>
      <c r="FF47" s="25">
        <f t="shared" ref="FF47" si="625">SUM(FF39:FF46)</f>
        <v>33989988</v>
      </c>
      <c r="FG47" s="39">
        <f>IF(SUM(FG39:FG46)=0,"",SUM(FG39:FG46)/COUNT(FG39:FG46))</f>
        <v>0.1366</v>
      </c>
      <c r="FH47" s="25">
        <f>SUM(FH39:FH46)</f>
        <v>181</v>
      </c>
      <c r="FI47" s="25">
        <f t="shared" ref="FI47" si="626">SUM(FI39:FI46)</f>
        <v>156744552</v>
      </c>
      <c r="FJ47" s="25">
        <f t="shared" ref="FJ47" si="627">SUM(FJ39:FJ46)</f>
        <v>180</v>
      </c>
      <c r="FK47" s="25">
        <f t="shared" ref="FK47" si="628">SUM(FK39:FK46)</f>
        <v>160517887</v>
      </c>
      <c r="FL47" s="25">
        <f t="shared" ref="FL47" si="629">SUM(FL39:FL46)</f>
        <v>351</v>
      </c>
      <c r="FM47" s="25">
        <f t="shared" ref="FM47" si="630">SUM(FM39:FM46)</f>
        <v>275044827</v>
      </c>
      <c r="FN47" s="25">
        <f t="shared" ref="FN47" si="631">SUM(FN39:FN46)</f>
        <v>267821734</v>
      </c>
      <c r="FO47" s="25">
        <f t="shared" ref="FO47" si="632">SUM(FO39:FO46)</f>
        <v>35045755</v>
      </c>
      <c r="FP47" s="39">
        <f>IF(SUM(FP39:FP46)=0,"",SUM(FP39:FP46)/COUNT(FP39:FP46))</f>
        <v>0.1308</v>
      </c>
      <c r="FQ47" s="25">
        <f>SUM(FQ39:FQ46)</f>
        <v>119</v>
      </c>
      <c r="FR47" s="25">
        <f t="shared" ref="FR47" si="633">SUM(FR39:FR46)</f>
        <v>96554050</v>
      </c>
      <c r="FS47" s="25">
        <f t="shared" ref="FS47" si="634">SUM(FS39:FS46)</f>
        <v>171</v>
      </c>
      <c r="FT47" s="25">
        <f t="shared" ref="FT47" si="635">SUM(FT39:FT46)</f>
        <v>142351192</v>
      </c>
      <c r="FU47" s="25">
        <f t="shared" ref="FU47" si="636">SUM(FU39:FU46)</f>
        <v>299</v>
      </c>
      <c r="FV47" s="25">
        <f t="shared" ref="FV47" si="637">SUM(FV39:FV46)</f>
        <v>229247685</v>
      </c>
      <c r="FW47" s="25">
        <f t="shared" ref="FW47" si="638">SUM(FW39:FW46)</f>
        <v>254121394</v>
      </c>
      <c r="FX47" s="25">
        <f t="shared" ref="FX47" si="639">SUM(FX39:FX46)</f>
        <v>32719957</v>
      </c>
      <c r="FY47" s="39">
        <f>IF(SUM(FY39:FY46)=0,"",SUM(FY39:FY46)/COUNT(FY39:FY46))</f>
        <v>0.1288</v>
      </c>
      <c r="FZ47" s="25">
        <f>SUM(FZ39:FZ46)</f>
        <v>79</v>
      </c>
      <c r="GA47" s="25">
        <f t="shared" ref="GA47" si="640">SUM(GA39:GA46)</f>
        <v>60715238</v>
      </c>
      <c r="GB47" s="25">
        <f t="shared" ref="GB47" si="641">SUM(GB39:GB46)</f>
        <v>136</v>
      </c>
      <c r="GC47" s="25">
        <f t="shared" ref="GC47" si="642">SUM(GC39:GC46)</f>
        <v>112951336</v>
      </c>
      <c r="GD47" s="25">
        <f t="shared" ref="GD47" si="643">SUM(GD39:GD46)</f>
        <v>242</v>
      </c>
      <c r="GE47" s="25">
        <f t="shared" ref="GE47" si="644">SUM(GE39:GE46)</f>
        <v>177011587</v>
      </c>
      <c r="GF47" s="25">
        <f t="shared" ref="GF47" si="645">SUM(GF39:GF46)</f>
        <v>197988457</v>
      </c>
      <c r="GG47" s="25">
        <f t="shared" ref="GG47" si="646">SUM(GG39:GG46)</f>
        <v>26866741</v>
      </c>
      <c r="GH47" s="39">
        <f>IF(SUM(GH39:GH46)=0,"",SUM(GH39:GH46)/COUNT(GH39:GH46))</f>
        <v>0.13569999999999999</v>
      </c>
      <c r="GI47" s="25">
        <f>SUM(GI39:GI46)</f>
        <v>100</v>
      </c>
      <c r="GJ47" s="25">
        <f t="shared" ref="GJ47" si="647">SUM(GJ39:GJ46)</f>
        <v>103161576</v>
      </c>
      <c r="GK47" s="25">
        <f t="shared" ref="GK47" si="648">SUM(GK39:GK46)</f>
        <v>114</v>
      </c>
      <c r="GL47" s="25">
        <f t="shared" ref="GL47" si="649">SUM(GL39:GL46)</f>
        <v>110738899</v>
      </c>
      <c r="GM47" s="25">
        <f t="shared" ref="GM47" si="650">SUM(GM39:GM46)</f>
        <v>228</v>
      </c>
      <c r="GN47" s="25">
        <f t="shared" ref="GN47" si="651">SUM(GN39:GN46)</f>
        <v>169434264</v>
      </c>
      <c r="GO47" s="25">
        <f t="shared" ref="GO47" si="652">SUM(GO39:GO46)</f>
        <v>161528361</v>
      </c>
      <c r="GP47" s="25">
        <f t="shared" ref="GP47" si="653">SUM(GP39:GP46)</f>
        <v>20621710</v>
      </c>
      <c r="GQ47" s="39">
        <f>IF(SUM(GQ39:GQ46)=0,"",SUM(GQ39:GQ46)/COUNT(GQ39:GQ46))</f>
        <v>0.12770000000000001</v>
      </c>
      <c r="GR47" s="25">
        <f>SUM(GR39:GR46)</f>
        <v>77</v>
      </c>
      <c r="GS47" s="25">
        <f t="shared" ref="GS47" si="654">SUM(GS39:GS46)</f>
        <v>58318027</v>
      </c>
      <c r="GT47" s="25">
        <f t="shared" ref="GT47" si="655">SUM(GT39:GT46)</f>
        <v>113</v>
      </c>
      <c r="GU47" s="25">
        <f t="shared" ref="GU47" si="656">SUM(GU39:GU46)</f>
        <v>85812536</v>
      </c>
      <c r="GV47" s="25">
        <f t="shared" ref="GV47" si="657">SUM(GV39:GV46)</f>
        <v>192</v>
      </c>
      <c r="GW47" s="25">
        <f t="shared" ref="GW47" si="658">SUM(GW39:GW46)</f>
        <v>141939755</v>
      </c>
      <c r="GX47" s="25">
        <f t="shared" ref="GX47" si="659">SUM(GX39:GX46)</f>
        <v>155665443</v>
      </c>
      <c r="GY47" s="25">
        <f t="shared" ref="GY47" si="660">SUM(GY39:GY46)</f>
        <v>18988968</v>
      </c>
      <c r="GZ47" s="39">
        <f>IF(SUM(GZ39:GZ46)=0,"",SUM(GZ39:GZ46)/COUNT(GZ39:GZ46))</f>
        <v>0.122</v>
      </c>
      <c r="HA47" s="25">
        <f>SUM(HA39:HA46)</f>
        <v>161</v>
      </c>
      <c r="HB47" s="25">
        <f t="shared" ref="HB47" si="661">SUM(HB39:HB46)</f>
        <v>110781875</v>
      </c>
      <c r="HC47" s="25">
        <f t="shared" ref="HC47" si="662">SUM(HC39:HC46)</f>
        <v>116</v>
      </c>
      <c r="HD47" s="25">
        <f t="shared" ref="HD47" si="663">SUM(HD39:HD46)</f>
        <v>80570632</v>
      </c>
      <c r="HE47" s="25">
        <f t="shared" ref="HE47" si="664">SUM(HE39:HE46)</f>
        <v>237</v>
      </c>
      <c r="HF47" s="25">
        <f t="shared" ref="HF47" si="665">SUM(HF39:HF46)</f>
        <v>172150998</v>
      </c>
      <c r="HG47" s="25">
        <f t="shared" ref="HG47" si="666">SUM(HG39:HG46)</f>
        <v>153299482</v>
      </c>
      <c r="HH47" s="25">
        <f t="shared" ref="HH47" si="667">SUM(HH39:HH46)</f>
        <v>16253146</v>
      </c>
      <c r="HI47" s="39">
        <f>IF(SUM(HI39:HI46)=0,"",SUM(HI39:HI46)/COUNT(HI39:HI46))</f>
        <v>0.106</v>
      </c>
      <c r="HJ47" s="25">
        <f>SUM(HJ39:HJ46)</f>
        <v>152</v>
      </c>
      <c r="HK47" s="25">
        <f t="shared" ref="HK47" si="668">SUM(HK39:HK46)</f>
        <v>108423886</v>
      </c>
      <c r="HL47" s="25">
        <f t="shared" ref="HL47" si="669">SUM(HL39:HL46)</f>
        <v>110</v>
      </c>
      <c r="HM47" s="25">
        <f t="shared" ref="HM47" si="670">SUM(HM39:HM46)</f>
        <v>89805552</v>
      </c>
      <c r="HN47" s="25">
        <f t="shared" ref="HN47" si="671">SUM(HN39:HN46)</f>
        <v>279</v>
      </c>
      <c r="HO47" s="25">
        <f t="shared" ref="HO47" si="672">SUM(HO39:HO46)</f>
        <v>190769332</v>
      </c>
      <c r="HP47" s="25">
        <f t="shared" ref="HP47" si="673">SUM(HP39:HP46)</f>
        <v>172178702</v>
      </c>
      <c r="HQ47" s="25">
        <f>SUM(HQ39:HQ46)</f>
        <v>17742035</v>
      </c>
      <c r="HR47" s="39">
        <f>IF(SUM(HR39:HR46)=0,"",SUM(HR39:HR46)/COUNT(HR39:HR46))</f>
        <v>0.10299999999999999</v>
      </c>
      <c r="HS47" s="25">
        <f>SUM(HS39:HS46)</f>
        <v>123</v>
      </c>
      <c r="HT47" s="25">
        <f t="shared" ref="HT47:HY47" si="674">SUM(HT39:HT46)</f>
        <v>88703000</v>
      </c>
      <c r="HU47" s="25">
        <f t="shared" si="674"/>
        <v>133</v>
      </c>
      <c r="HV47" s="25">
        <f t="shared" si="674"/>
        <v>92007344</v>
      </c>
      <c r="HW47" s="25">
        <f t="shared" si="674"/>
        <v>269</v>
      </c>
      <c r="HX47" s="25">
        <f t="shared" si="674"/>
        <v>187464988</v>
      </c>
      <c r="HY47" s="25">
        <f t="shared" si="674"/>
        <v>185151954</v>
      </c>
      <c r="HZ47" s="25">
        <f>SUM(HZ39:HZ46)</f>
        <v>18424408</v>
      </c>
      <c r="IA47" s="39">
        <f>IF(SUM(IA39:IA46)=0,"",SUM(IA39:IA46)/COUNT(IA39:IA46))</f>
        <v>9.325E-2</v>
      </c>
      <c r="IB47" s="25">
        <f>SUM(IB39:IB46)</f>
        <v>139</v>
      </c>
      <c r="IC47" s="25">
        <f t="shared" ref="IC47" si="675">SUM(IC39:IC46)</f>
        <v>109900500</v>
      </c>
      <c r="ID47" s="25">
        <f t="shared" ref="ID47" si="676">SUM(ID39:ID46)</f>
        <v>130</v>
      </c>
      <c r="IE47" s="25">
        <f t="shared" ref="IE47" si="677">SUM(IE39:IE46)</f>
        <v>97014932</v>
      </c>
      <c r="IF47" s="25">
        <f t="shared" ref="IF47" si="678">SUM(IF39:IF46)</f>
        <v>278</v>
      </c>
      <c r="IG47" s="25">
        <f t="shared" ref="IG47" si="679">SUM(IG39:IG46)</f>
        <v>200350556</v>
      </c>
      <c r="IH47" s="25">
        <f t="shared" ref="IH47" si="680">SUM(IH39:IH46)</f>
        <v>193446893</v>
      </c>
      <c r="II47" s="25">
        <f>SUM(II39:II46)</f>
        <v>18533823</v>
      </c>
      <c r="IJ47" s="39">
        <f>IF(SUM(IJ39:IJ46)=0,"",SUM(IJ39:IJ46)/COUNT(IJ39:IJ46))</f>
        <v>9.1133333333333344E-2</v>
      </c>
      <c r="IK47" s="25">
        <f>SUM(IK39:IK46)</f>
        <v>172</v>
      </c>
      <c r="IL47" s="25">
        <f t="shared" ref="IL47" si="681">SUM(IL39:IL46)</f>
        <v>129416059</v>
      </c>
      <c r="IM47" s="25">
        <f t="shared" ref="IM47" si="682">SUM(IM39:IM46)</f>
        <v>131</v>
      </c>
      <c r="IN47" s="25">
        <f t="shared" ref="IN47" si="683">SUM(IN39:IN46)</f>
        <v>98250463</v>
      </c>
      <c r="IO47" s="25">
        <f t="shared" ref="IO47" si="684">SUM(IO39:IO46)</f>
        <v>319</v>
      </c>
      <c r="IP47" s="25">
        <f t="shared" ref="IP47" si="685">SUM(IP39:IP46)</f>
        <v>231516152</v>
      </c>
      <c r="IQ47" s="25">
        <f t="shared" ref="IQ47" si="686">SUM(IQ39:IQ46)</f>
        <v>216928571</v>
      </c>
      <c r="IR47" s="25">
        <f>SUM(IR39:IR46)</f>
        <v>20845831</v>
      </c>
      <c r="IS47" s="39">
        <f>IF(SUM(IS39:IS46)=0,"",SUM(IS39:IS46)/COUNT(IS39:IS46))</f>
        <v>9.085E-2</v>
      </c>
      <c r="IT47" s="25">
        <f>SUM(IT39:IT46)</f>
        <v>156</v>
      </c>
      <c r="IU47" s="25">
        <f t="shared" ref="IU47" si="687">SUM(IU39:IU46)</f>
        <v>121567000</v>
      </c>
      <c r="IV47" s="25">
        <f t="shared" ref="IV47" si="688">SUM(IV39:IV46)</f>
        <v>160</v>
      </c>
      <c r="IW47" s="25">
        <f t="shared" ref="IW47" si="689">SUM(IW39:IW46)</f>
        <v>139059035</v>
      </c>
      <c r="IX47" s="25">
        <f t="shared" ref="IX47" si="690">SUM(IX39:IX46)</f>
        <v>315</v>
      </c>
      <c r="IY47" s="25">
        <f t="shared" ref="IY47" si="691">SUM(IY39:IY46)</f>
        <v>213387117</v>
      </c>
      <c r="IZ47" s="25">
        <f t="shared" ref="IZ47" si="692">SUM(IZ39:IZ46)</f>
        <v>217724890</v>
      </c>
      <c r="JA47" s="25">
        <f>SUM(JA39:JA46)</f>
        <v>20634050</v>
      </c>
      <c r="JB47" s="39">
        <f>IF(SUM(JB39:JB46)=0,"",SUM(JB39:JB46)/COUNT(JB39:JB46))</f>
        <v>9.4066666666666673E-2</v>
      </c>
      <c r="JC47" s="25">
        <f>SUM(JC39:JC46)</f>
        <v>137</v>
      </c>
      <c r="JD47" s="25">
        <f t="shared" ref="JD47" si="693">SUM(JD39:JD46)</f>
        <v>111943500</v>
      </c>
      <c r="JE47" s="25">
        <f t="shared" ref="JE47" si="694">SUM(JE39:JE46)</f>
        <v>151</v>
      </c>
      <c r="JF47" s="25">
        <f t="shared" ref="JF47" si="695">SUM(JF39:JF46)</f>
        <v>113998529</v>
      </c>
      <c r="JG47" s="25">
        <f t="shared" ref="JG47" si="696">SUM(JG39:JG46)</f>
        <v>301</v>
      </c>
      <c r="JH47" s="25">
        <f t="shared" ref="JH47" si="697">SUM(JH39:JH46)</f>
        <v>211332088</v>
      </c>
      <c r="JI47" s="25">
        <f t="shared" ref="JI47" si="698">SUM(JI39:JI46)</f>
        <v>210816225</v>
      </c>
      <c r="JJ47" s="25">
        <f>SUM(JJ39:JJ46)</f>
        <v>19368268</v>
      </c>
      <c r="JK47" s="39">
        <f>IF(SUM(JK39:JK46)=0,"",SUM(JK39:JK46)/COUNT(JK39:JK46))</f>
        <v>9.1399999999999995E-2</v>
      </c>
      <c r="JL47" s="25">
        <f>SUM(JL39:JL46)</f>
        <v>117</v>
      </c>
      <c r="JM47" s="25">
        <f t="shared" ref="JM47" si="699">SUM(JM39:JM46)</f>
        <v>92250000</v>
      </c>
      <c r="JN47" s="25">
        <f t="shared" ref="JN47" si="700">SUM(JN39:JN46)</f>
        <v>135</v>
      </c>
      <c r="JO47" s="25">
        <f t="shared" ref="JO47" si="701">SUM(JO39:JO46)</f>
        <v>91924832</v>
      </c>
      <c r="JP47" s="25">
        <f t="shared" ref="JP47" si="702">SUM(JP39:JP46)</f>
        <v>283</v>
      </c>
      <c r="JQ47" s="25">
        <f t="shared" ref="JQ47" si="703">SUM(JQ39:JQ46)</f>
        <v>211657256</v>
      </c>
      <c r="JR47" s="25">
        <f t="shared" ref="JR47" si="704">SUM(JR39:JR46)</f>
        <v>207072748</v>
      </c>
      <c r="JS47" s="25">
        <f>SUM(JS39:JS46)</f>
        <v>18894445</v>
      </c>
      <c r="JT47" s="39">
        <f>IF(SUM(JT39:JT46)=0,"",SUM(JT39:JT46)/COUNT(JT39:JT46))</f>
        <v>9.1866666666666652E-2</v>
      </c>
      <c r="JU47" s="25">
        <f>SUM(JU39:JU46)</f>
        <v>218</v>
      </c>
      <c r="JV47" s="25">
        <f t="shared" ref="JV47" si="705">SUM(JV39:JV46)</f>
        <v>123526500</v>
      </c>
      <c r="JW47" s="25">
        <f t="shared" ref="JW47" si="706">SUM(JW39:JW46)</f>
        <v>171</v>
      </c>
      <c r="JX47" s="25">
        <f t="shared" ref="JX47" si="707">SUM(JX39:JX46)</f>
        <v>122577559</v>
      </c>
      <c r="JY47" s="25">
        <f t="shared" ref="JY47" si="708">SUM(JY39:JY46)</f>
        <v>330</v>
      </c>
      <c r="JZ47" s="25">
        <f t="shared" ref="JZ47" si="709">SUM(JZ39:JZ46)</f>
        <v>212606197</v>
      </c>
      <c r="KA47" s="25">
        <f t="shared" ref="KA47" si="710">SUM(KA39:KA46)</f>
        <v>216712917</v>
      </c>
      <c r="KB47" s="25">
        <f>SUM(KB39:KB46)</f>
        <v>19253085</v>
      </c>
      <c r="KC47" s="39">
        <f>IF(SUM(KC39:KC46)=0,"",SUM(KC39:KC46)/COUNT(KC39:KC46))</f>
        <v>9.1066666666666671E-2</v>
      </c>
      <c r="KD47" s="25">
        <f>SUM(KD39:KD46)</f>
        <v>186</v>
      </c>
      <c r="KE47" s="25">
        <f t="shared" ref="KE47" si="711">SUM(KE39:KE46)</f>
        <v>128770000</v>
      </c>
      <c r="KF47" s="25">
        <f t="shared" ref="KF47" si="712">SUM(KF39:KF46)</f>
        <v>140</v>
      </c>
      <c r="KG47" s="25">
        <f t="shared" ref="KG47" si="713">SUM(KG39:KG46)</f>
        <v>96869246</v>
      </c>
      <c r="KH47" s="25">
        <f t="shared" ref="KH47" si="714">SUM(KH39:KH46)</f>
        <v>376</v>
      </c>
      <c r="KI47" s="25">
        <f t="shared" ref="KI47" si="715">SUM(KI39:KI46)</f>
        <v>244506951</v>
      </c>
      <c r="KJ47" s="25">
        <f t="shared" ref="KJ47" si="716">SUM(KJ39:KJ46)</f>
        <v>228307495</v>
      </c>
      <c r="KK47" s="25">
        <f>SUM(KK39:KK46)</f>
        <v>19952830</v>
      </c>
      <c r="KL47" s="39">
        <f>IF(SUM(KL39:KL46)=0,"",SUM(KL39:KL46)/COUNT(KL39:KL46))</f>
        <v>9.743333333333333E-2</v>
      </c>
      <c r="KM47" s="25">
        <f>SUM(KM39:KM46)</f>
        <v>177</v>
      </c>
      <c r="KN47" s="25">
        <f t="shared" ref="KN47" si="717">SUM(KN39:KN46)</f>
        <v>121740000</v>
      </c>
      <c r="KO47" s="25">
        <f t="shared" ref="KO47" si="718">SUM(KO39:KO46)</f>
        <v>168</v>
      </c>
      <c r="KP47" s="25">
        <f t="shared" ref="KP47" si="719">SUM(KP39:KP46)</f>
        <v>116987688</v>
      </c>
      <c r="KQ47" s="25">
        <f t="shared" ref="KQ47" si="720">SUM(KQ39:KQ46)</f>
        <v>385</v>
      </c>
      <c r="KR47" s="25">
        <f t="shared" ref="KR47" si="721">SUM(KR39:KR46)</f>
        <v>249259263</v>
      </c>
      <c r="KS47" s="25">
        <f t="shared" ref="KS47" si="722">SUM(KS39:KS46)</f>
        <v>242038455</v>
      </c>
      <c r="KT47" s="25">
        <f>SUM(KT39:KT46)</f>
        <v>21418512</v>
      </c>
      <c r="KU47" s="39">
        <f>IF(SUM(KU39:KU46)=0,"",SUM(KU39:KU46)/COUNT(KU39:KU46))</f>
        <v>8.030000000000001E-2</v>
      </c>
      <c r="KV47" s="25">
        <f>SUM(KV39:KV46)</f>
        <v>193</v>
      </c>
      <c r="KW47" s="25">
        <f t="shared" ref="KW47" si="723">SUM(KW39:KW46)</f>
        <v>161866000</v>
      </c>
      <c r="KX47" s="25">
        <f t="shared" ref="KX47" si="724">SUM(KX39:KX46)</f>
        <v>154</v>
      </c>
      <c r="KY47" s="25">
        <f t="shared" ref="KY47" si="725">SUM(KY39:KY46)</f>
        <v>114620827</v>
      </c>
      <c r="KZ47" s="25">
        <f t="shared" ref="KZ47" si="726">SUM(KZ39:KZ46)</f>
        <v>424</v>
      </c>
      <c r="LA47" s="25">
        <f t="shared" ref="LA47" si="727">SUM(LA39:LA46)</f>
        <v>296504436</v>
      </c>
      <c r="LB47" s="25">
        <f t="shared" ref="LB47" si="728">SUM(LB39:LB46)</f>
        <v>270862612</v>
      </c>
      <c r="LC47" s="25">
        <f>SUM(LC39:LC46)</f>
        <v>24079285</v>
      </c>
      <c r="LD47" s="39">
        <f>IF(SUM(LD39:LD46)=0,"",SUM(LD39:LD46)/COUNT(LD39:LD46))</f>
        <v>7.7099999999999988E-2</v>
      </c>
      <c r="LE47" s="25">
        <f>SUM(LE39:LE46)</f>
        <v>114</v>
      </c>
      <c r="LF47" s="25">
        <f t="shared" ref="LF47" si="729">SUM(LF39:LF46)</f>
        <v>55940000</v>
      </c>
      <c r="LG47" s="25">
        <f t="shared" ref="LG47" si="730">SUM(LG39:LG46)</f>
        <v>140</v>
      </c>
      <c r="LH47" s="25">
        <f t="shared" ref="LH47" si="731">SUM(LH39:LH46)</f>
        <v>112187539</v>
      </c>
      <c r="LI47" s="25">
        <f t="shared" ref="LI47" si="732">SUM(LI39:LI46)</f>
        <v>398</v>
      </c>
      <c r="LJ47" s="25">
        <f t="shared" ref="LJ47" si="733">SUM(LJ39:LJ46)</f>
        <v>240256897</v>
      </c>
      <c r="LK47" s="25">
        <f t="shared" ref="LK47" si="734">SUM(LK39:LK46)</f>
        <v>270260995</v>
      </c>
      <c r="LL47" s="25">
        <f>SUM(LL39:LL46)</f>
        <v>25609193</v>
      </c>
      <c r="LM47" s="39">
        <f>IF(SUM(LM39:LM46)=0,"",SUM(LM39:LM46)/COUNT(LM39:LM46))</f>
        <v>7.8879999999999992E-2</v>
      </c>
      <c r="LN47" s="25">
        <f>SUM(LN39:LN46)</f>
        <v>184</v>
      </c>
      <c r="LO47" s="25">
        <f t="shared" ref="LO47" si="735">SUM(LO39:LO46)</f>
        <v>121050000</v>
      </c>
      <c r="LP47" s="25">
        <f t="shared" ref="LP47" si="736">SUM(LP39:LP46)</f>
        <v>161</v>
      </c>
      <c r="LQ47" s="25">
        <f t="shared" ref="LQ47" si="737">SUM(LQ39:LQ46)</f>
        <v>105753749</v>
      </c>
      <c r="LR47" s="25">
        <f t="shared" ref="LR47" si="738">SUM(LR39:LR46)</f>
        <v>421</v>
      </c>
      <c r="LS47" s="25">
        <f t="shared" ref="LS47" si="739">SUM(LS39:LS46)</f>
        <v>255553148</v>
      </c>
      <c r="LT47" s="25">
        <f t="shared" ref="LT47" si="740">SUM(LT39:LT46)</f>
        <v>239107672</v>
      </c>
      <c r="LU47" s="25">
        <f>SUM(LU39:LU46)</f>
        <v>21517731</v>
      </c>
      <c r="LV47" s="39">
        <f>IF(SUM(LV39:LV46)=0,"",SUM(LV39:LV46)/COUNT(LV39:LV46))</f>
        <v>7.4479999999999991E-2</v>
      </c>
      <c r="LW47" s="25">
        <f>SUM(LW39:LW46)</f>
        <v>233</v>
      </c>
      <c r="LX47" s="25">
        <f t="shared" ref="LX47" si="741">SUM(LX39:LX46)</f>
        <v>212520000</v>
      </c>
      <c r="LY47" s="25">
        <f t="shared" ref="LY47" si="742">SUM(LY39:LY46)</f>
        <v>183</v>
      </c>
      <c r="LZ47" s="25">
        <f t="shared" ref="LZ47" si="743">SUM(LZ39:LZ46)</f>
        <v>130352856</v>
      </c>
      <c r="MA47" s="25">
        <f t="shared" ref="MA47" si="744">SUM(MA39:MA46)</f>
        <v>471</v>
      </c>
      <c r="MB47" s="25">
        <f t="shared" ref="MB47" si="745">SUM(MB39:MB46)</f>
        <v>337720292</v>
      </c>
      <c r="MC47" s="25">
        <f t="shared" ref="MC47" si="746">SUM(MC39:MC46)</f>
        <v>302087485</v>
      </c>
      <c r="MD47" s="25">
        <f>SUM(MD39:MD46)</f>
        <v>25804907</v>
      </c>
      <c r="ME47" s="39">
        <f>IF(SUM(ME39:ME46)=0,"",SUM(ME39:ME46)/COUNT(ME39:ME46))</f>
        <v>8.1299999999999997E-2</v>
      </c>
      <c r="MF47" s="25">
        <f>SUM(MF39:MF46)</f>
        <v>193</v>
      </c>
      <c r="MG47" s="25">
        <f t="shared" ref="MG47:ML47" si="747">SUM(MG39:MG46)</f>
        <v>194650000</v>
      </c>
      <c r="MH47" s="25">
        <f t="shared" si="747"/>
        <v>146</v>
      </c>
      <c r="MI47" s="25">
        <f t="shared" si="747"/>
        <v>131888194</v>
      </c>
      <c r="MJ47" s="25">
        <f t="shared" si="747"/>
        <v>518</v>
      </c>
      <c r="MK47" s="25">
        <f t="shared" si="747"/>
        <v>400482098</v>
      </c>
      <c r="ML47" s="25">
        <f t="shared" si="747"/>
        <v>374804244</v>
      </c>
      <c r="MM47" s="25">
        <f>SUM(MM39:MM46)</f>
        <v>32311307</v>
      </c>
      <c r="MN47" s="39">
        <f>IF(SUM(MN39:MN46)=0,"",SUM(MN39:MN46)/COUNT(MN39:MN46))</f>
        <v>7.3800000000000004E-2</v>
      </c>
      <c r="MO47" s="25">
        <f>SUM(MO39:MO46)</f>
        <v>156</v>
      </c>
      <c r="MP47" s="25">
        <f t="shared" ref="MP47:MU47" si="748">SUM(MP39:MP46)</f>
        <v>182170000</v>
      </c>
      <c r="MQ47" s="25">
        <f t="shared" si="748"/>
        <v>147</v>
      </c>
      <c r="MR47" s="25">
        <f t="shared" si="748"/>
        <v>146752781</v>
      </c>
      <c r="MS47" s="25">
        <f t="shared" si="748"/>
        <v>527</v>
      </c>
      <c r="MT47" s="25">
        <f t="shared" si="748"/>
        <v>435899317</v>
      </c>
      <c r="MU47" s="25">
        <f t="shared" si="748"/>
        <v>416722301</v>
      </c>
      <c r="MV47" s="25">
        <f>SUM(MV39:MV46)</f>
        <v>36975513</v>
      </c>
      <c r="MW47" s="39">
        <f>IF(SUM(MW39:MW46)=0,"",SUM(MW39:MW46)/COUNT(MW39:MW46))</f>
        <v>8.893333333333335E-2</v>
      </c>
      <c r="MX47" s="25">
        <f>SUM(MX39:MX46)</f>
        <v>117</v>
      </c>
      <c r="MY47" s="25">
        <f t="shared" ref="MY47:ND47" si="749">SUM(MY39:MY46)</f>
        <v>152690000</v>
      </c>
      <c r="MZ47" s="25">
        <f t="shared" si="749"/>
        <v>142</v>
      </c>
      <c r="NA47" s="25">
        <f t="shared" si="749"/>
        <v>152771500</v>
      </c>
      <c r="NB47" s="25">
        <f t="shared" si="749"/>
        <v>502</v>
      </c>
      <c r="NC47" s="25">
        <f t="shared" si="749"/>
        <v>435817817</v>
      </c>
      <c r="ND47" s="25">
        <f t="shared" si="749"/>
        <v>431861803</v>
      </c>
      <c r="NE47" s="25">
        <f>SUM(NE39:NE46)</f>
        <v>39124781</v>
      </c>
      <c r="NF47" s="39">
        <f>IF(SUM(NF39:NF46)=0,"",SUM(NF39:NF46)/COUNT(NF39:NF46))</f>
        <v>9.9833333333333329E-2</v>
      </c>
      <c r="NG47" s="25">
        <f>SUM(NG39:NG46)</f>
        <v>131</v>
      </c>
      <c r="NH47" s="25">
        <f t="shared" ref="NH47:NM47" si="750">SUM(NH39:NH46)</f>
        <v>133930000</v>
      </c>
      <c r="NI47" s="25">
        <f t="shared" si="750"/>
        <v>171</v>
      </c>
      <c r="NJ47" s="25">
        <f t="shared" si="750"/>
        <v>150048817</v>
      </c>
      <c r="NK47" s="25">
        <f t="shared" si="750"/>
        <v>462</v>
      </c>
      <c r="NL47" s="25">
        <f t="shared" si="750"/>
        <v>419699000</v>
      </c>
      <c r="NM47" s="25">
        <f t="shared" si="750"/>
        <v>431305191</v>
      </c>
      <c r="NN47" s="25">
        <f>SUM(NN39:NN46)</f>
        <v>38962396</v>
      </c>
      <c r="NO47" s="39">
        <f>IF(SUM(NO39:NO46)=0,"",SUM(NO39:NO46)/COUNT(NO39:NO46))</f>
        <v>9.4000000000000014E-2</v>
      </c>
      <c r="NP47" s="25">
        <f>SUM(NP39:NP46)</f>
        <v>104</v>
      </c>
      <c r="NQ47" s="25">
        <f t="shared" ref="NQ47:NV47" si="751">SUM(NQ39:NQ46)</f>
        <v>99220000</v>
      </c>
      <c r="NR47" s="25">
        <f t="shared" si="751"/>
        <v>132</v>
      </c>
      <c r="NS47" s="25">
        <f t="shared" si="751"/>
        <v>141867411</v>
      </c>
      <c r="NT47" s="25">
        <f t="shared" si="751"/>
        <v>434</v>
      </c>
      <c r="NU47" s="25">
        <f t="shared" si="751"/>
        <v>377051589</v>
      </c>
      <c r="NV47" s="25">
        <f t="shared" si="751"/>
        <v>397593988</v>
      </c>
      <c r="NW47" s="25">
        <f>SUM(NW39:NW46)</f>
        <v>35990960</v>
      </c>
      <c r="NX47" s="39">
        <f>IF(SUM(NX39:NX46)=0,"",SUM(NX39:NX46)/COUNT(NX39:NX46))</f>
        <v>0.10143333333333333</v>
      </c>
      <c r="NY47" s="25">
        <f>SUM(NY39:NY46)</f>
        <v>113</v>
      </c>
      <c r="NZ47" s="25">
        <f t="shared" ref="NZ47:OE47" si="752">SUM(NZ39:NZ46)</f>
        <v>83190000</v>
      </c>
      <c r="OA47" s="25">
        <f t="shared" si="752"/>
        <v>115</v>
      </c>
      <c r="OB47" s="25">
        <f t="shared" si="752"/>
        <v>127382422</v>
      </c>
      <c r="OC47" s="25">
        <f t="shared" si="752"/>
        <v>432</v>
      </c>
      <c r="OD47" s="25">
        <f t="shared" si="752"/>
        <v>332859167</v>
      </c>
      <c r="OE47" s="25">
        <f t="shared" si="752"/>
        <v>354960986</v>
      </c>
      <c r="OF47" s="25">
        <f>SUM(OF39:OF46)</f>
        <v>32641349</v>
      </c>
      <c r="OG47" s="39">
        <f>IF(SUM(OG39:OG46)=0,"",SUM(OG39:OG46)/COUNT(OG39:OG46))</f>
        <v>9.2450000000000004E-2</v>
      </c>
      <c r="OH47" s="25">
        <f>SUM(OH39:OH46)</f>
        <v>109</v>
      </c>
      <c r="OI47" s="25">
        <f t="shared" ref="OI47:ON47" si="753">SUM(OI39:OI46)</f>
        <v>67020000</v>
      </c>
      <c r="OJ47" s="25">
        <f t="shared" si="753"/>
        <v>155</v>
      </c>
      <c r="OK47" s="25">
        <f t="shared" si="753"/>
        <v>118898716</v>
      </c>
      <c r="OL47" s="25">
        <f t="shared" si="753"/>
        <v>386</v>
      </c>
      <c r="OM47" s="25">
        <f t="shared" si="753"/>
        <v>280980451</v>
      </c>
      <c r="ON47" s="25">
        <f t="shared" si="753"/>
        <v>298731793</v>
      </c>
      <c r="OO47" s="25">
        <f>SUM(OO39:OO46)</f>
        <v>26761425</v>
      </c>
      <c r="OP47" s="39">
        <f>IF(SUM(OP39:OP46)=0,"",SUM(OP39:OP46)/COUNT(OP39:OP46))</f>
        <v>8.795E-2</v>
      </c>
      <c r="OQ47" s="25">
        <f>SUM(OQ39:OQ46)</f>
        <v>105</v>
      </c>
      <c r="OR47" s="25">
        <f t="shared" ref="OR47:OW47" si="754">SUM(OR39:OR46)</f>
        <v>59130000</v>
      </c>
      <c r="OS47" s="25">
        <f t="shared" si="754"/>
        <v>155</v>
      </c>
      <c r="OT47" s="25">
        <f t="shared" si="754"/>
        <v>112070713</v>
      </c>
      <c r="OU47" s="25">
        <f t="shared" si="754"/>
        <v>336</v>
      </c>
      <c r="OV47" s="25">
        <f t="shared" si="754"/>
        <v>228039738</v>
      </c>
      <c r="OW47" s="25">
        <f t="shared" si="754"/>
        <v>248528760</v>
      </c>
      <c r="OX47" s="25">
        <f>SUM(OX39:OX46)</f>
        <v>22938009</v>
      </c>
      <c r="OY47" s="39">
        <f>IF(SUM(OY39:OY46)=0,"",SUM(OY39:OY46)/COUNT(OY39:OY46))</f>
        <v>7.51E-2</v>
      </c>
      <c r="OZ47" s="27">
        <f>SUM(OZ39:OZ46)</f>
        <v>0</v>
      </c>
      <c r="PA47" s="27">
        <f t="shared" ref="PA47:PF47" si="755">SUM(PA39:PA46)</f>
        <v>0</v>
      </c>
      <c r="PB47" s="27">
        <f t="shared" si="755"/>
        <v>0</v>
      </c>
      <c r="PC47" s="27">
        <f t="shared" si="755"/>
        <v>0</v>
      </c>
      <c r="PD47" s="27">
        <f t="shared" si="755"/>
        <v>0</v>
      </c>
      <c r="PE47" s="27">
        <f t="shared" si="755"/>
        <v>0</v>
      </c>
      <c r="PF47" s="27">
        <f t="shared" si="755"/>
        <v>0</v>
      </c>
      <c r="PG47" s="27">
        <f>SUM(PG39:PG46)</f>
        <v>0</v>
      </c>
      <c r="PH47" s="28" t="str">
        <f>IF(SUM(PH39:PH46)=0,"",SUM(PH39:PH46)/COUNT(PH39:PH46))</f>
        <v/>
      </c>
    </row>
    <row r="48" spans="1:424" x14ac:dyDescent="0.2">
      <c r="A48" s="35" t="s">
        <v>58</v>
      </c>
      <c r="B48" s="24"/>
      <c r="C48" s="24"/>
      <c r="D48" s="24"/>
      <c r="E48" s="24"/>
      <c r="F48" s="24"/>
      <c r="G48" s="24"/>
      <c r="H48" s="24"/>
      <c r="I48" s="24"/>
      <c r="J48" s="38"/>
      <c r="K48" s="24"/>
      <c r="L48" s="24"/>
      <c r="M48" s="24"/>
      <c r="N48" s="24"/>
      <c r="O48" s="24"/>
      <c r="P48" s="24"/>
      <c r="Q48" s="24"/>
      <c r="R48" s="24"/>
      <c r="S48" s="38"/>
      <c r="T48" s="24"/>
      <c r="U48" s="24"/>
      <c r="V48" s="24"/>
      <c r="W48" s="24"/>
      <c r="X48" s="24"/>
      <c r="Y48" s="24"/>
      <c r="Z48" s="24"/>
      <c r="AA48" s="24"/>
      <c r="AB48" s="38"/>
      <c r="AC48" s="24"/>
      <c r="AD48" s="24"/>
      <c r="AE48" s="24"/>
      <c r="AF48" s="24"/>
      <c r="AG48" s="24"/>
      <c r="AH48" s="24"/>
      <c r="AI48" s="24"/>
      <c r="AJ48" s="24"/>
      <c r="AK48" s="38"/>
      <c r="AL48" s="24"/>
      <c r="AM48" s="24"/>
      <c r="AN48" s="24"/>
      <c r="AO48" s="24"/>
      <c r="AP48" s="24"/>
      <c r="AQ48" s="24"/>
      <c r="AR48" s="24"/>
      <c r="AS48" s="24"/>
      <c r="AT48" s="38"/>
      <c r="AU48" s="24"/>
      <c r="AV48" s="24"/>
      <c r="AW48" s="24"/>
      <c r="AX48" s="24"/>
      <c r="AY48" s="24"/>
      <c r="AZ48" s="24"/>
      <c r="BA48" s="24"/>
      <c r="BB48" s="24"/>
      <c r="BC48" s="38"/>
      <c r="BD48" s="24"/>
      <c r="BE48" s="24"/>
      <c r="BF48" s="24"/>
      <c r="BG48" s="24"/>
      <c r="BH48" s="24"/>
      <c r="BI48" s="24"/>
      <c r="BJ48" s="24"/>
      <c r="BK48" s="24"/>
      <c r="BL48" s="38"/>
      <c r="BM48" s="24"/>
      <c r="BN48" s="24"/>
      <c r="BO48" s="24"/>
      <c r="BP48" s="24"/>
      <c r="BQ48" s="24"/>
      <c r="BR48" s="24"/>
      <c r="BS48" s="24"/>
      <c r="BT48" s="24"/>
      <c r="BU48" s="38"/>
      <c r="BV48" s="24"/>
      <c r="BW48" s="24"/>
      <c r="BX48" s="24"/>
      <c r="BY48" s="24"/>
      <c r="BZ48" s="24"/>
      <c r="CA48" s="24"/>
      <c r="CB48" s="24"/>
      <c r="CC48" s="24"/>
      <c r="CD48" s="38"/>
      <c r="CE48" s="24"/>
      <c r="CF48" s="24"/>
      <c r="CG48" s="24"/>
      <c r="CH48" s="24"/>
      <c r="CI48" s="24"/>
      <c r="CJ48" s="24"/>
      <c r="CK48" s="24"/>
      <c r="CL48" s="24"/>
      <c r="CM48" s="38"/>
      <c r="CN48" s="24"/>
      <c r="CO48" s="24"/>
      <c r="CP48" s="24"/>
      <c r="CQ48" s="24"/>
      <c r="CR48" s="24"/>
      <c r="CS48" s="24"/>
      <c r="CT48" s="24"/>
      <c r="CU48" s="24"/>
      <c r="CV48" s="38"/>
      <c r="CW48" s="24"/>
      <c r="CX48" s="24"/>
      <c r="CY48" s="24"/>
      <c r="CZ48" s="24"/>
      <c r="DA48" s="24"/>
      <c r="DB48" s="24"/>
      <c r="DC48" s="24"/>
      <c r="DD48" s="24"/>
      <c r="DE48" s="38"/>
      <c r="DF48" s="24"/>
      <c r="DG48" s="24"/>
      <c r="DH48" s="24"/>
      <c r="DI48" s="24"/>
      <c r="DJ48" s="24"/>
      <c r="DK48" s="24"/>
      <c r="DL48" s="24"/>
      <c r="DM48" s="24"/>
      <c r="DN48" s="38"/>
      <c r="DO48" s="24"/>
      <c r="DP48" s="24"/>
      <c r="DQ48" s="24"/>
      <c r="DR48" s="24"/>
      <c r="DS48" s="24"/>
      <c r="DT48" s="24"/>
      <c r="DU48" s="24"/>
      <c r="DV48" s="24"/>
      <c r="DW48" s="38"/>
      <c r="DX48" s="24">
        <v>543</v>
      </c>
      <c r="DY48" s="24">
        <v>334147309</v>
      </c>
      <c r="DZ48" s="24">
        <v>209</v>
      </c>
      <c r="EA48" s="24">
        <v>30589957</v>
      </c>
      <c r="EB48" s="24">
        <v>334</v>
      </c>
      <c r="EC48" s="24">
        <v>303557352</v>
      </c>
      <c r="ED48" s="24">
        <v>305121894</v>
      </c>
      <c r="EE48" s="24">
        <v>9127177</v>
      </c>
      <c r="EF48" s="38">
        <v>2.9899999999999999E-2</v>
      </c>
      <c r="EG48" s="24">
        <v>87</v>
      </c>
      <c r="EH48" s="24">
        <v>107050000</v>
      </c>
      <c r="EI48" s="24">
        <v>113</v>
      </c>
      <c r="EJ48" s="24">
        <v>108548708</v>
      </c>
      <c r="EK48" s="24">
        <v>308</v>
      </c>
      <c r="EL48" s="24">
        <v>302058644</v>
      </c>
      <c r="EM48" s="24">
        <v>278352802</v>
      </c>
      <c r="EN48" s="24">
        <v>21782814</v>
      </c>
      <c r="EO48" s="38">
        <v>7.8200000000000006E-2</v>
      </c>
      <c r="EP48" s="24">
        <v>69</v>
      </c>
      <c r="EQ48" s="24">
        <v>113810000</v>
      </c>
      <c r="ER48" s="24">
        <v>93</v>
      </c>
      <c r="ES48" s="24">
        <v>101573884</v>
      </c>
      <c r="ET48" s="24">
        <v>284</v>
      </c>
      <c r="EU48" s="24">
        <v>314294760</v>
      </c>
      <c r="EV48" s="24">
        <v>307088678</v>
      </c>
      <c r="EW48" s="24">
        <v>21913924</v>
      </c>
      <c r="EX48" s="38">
        <v>7.1300000000000002E-2</v>
      </c>
      <c r="EY48" s="24">
        <v>58</v>
      </c>
      <c r="EZ48" s="24">
        <v>119971113</v>
      </c>
      <c r="FA48" s="24">
        <v>81</v>
      </c>
      <c r="FB48" s="24">
        <v>125386539</v>
      </c>
      <c r="FC48" s="24">
        <v>261</v>
      </c>
      <c r="FD48" s="24">
        <v>308879334</v>
      </c>
      <c r="FE48" s="24">
        <v>305720169</v>
      </c>
      <c r="FF48" s="24">
        <v>24177154</v>
      </c>
      <c r="FG48" s="38">
        <v>7.9000000000000001E-2</v>
      </c>
      <c r="FH48" s="24">
        <v>63</v>
      </c>
      <c r="FI48" s="24">
        <v>110265000</v>
      </c>
      <c r="FJ48" s="24">
        <v>71</v>
      </c>
      <c r="FK48" s="24">
        <v>98754689</v>
      </c>
      <c r="FL48" s="24">
        <v>253</v>
      </c>
      <c r="FM48" s="24">
        <v>320410687</v>
      </c>
      <c r="FN48" s="24">
        <v>317116664</v>
      </c>
      <c r="FO48" s="24">
        <v>26565149</v>
      </c>
      <c r="FP48" s="38">
        <v>8.3699999999999997E-2</v>
      </c>
      <c r="FQ48" s="24">
        <v>54</v>
      </c>
      <c r="FR48" s="24">
        <v>89070000</v>
      </c>
      <c r="FS48" s="24">
        <v>77</v>
      </c>
      <c r="FT48" s="24">
        <v>123276942</v>
      </c>
      <c r="FU48" s="24">
        <v>230</v>
      </c>
      <c r="FV48" s="24">
        <v>286203745</v>
      </c>
      <c r="FW48" s="24">
        <v>303244579</v>
      </c>
      <c r="FX48" s="24">
        <v>25276384</v>
      </c>
      <c r="FY48" s="38">
        <v>8.3400000000000002E-2</v>
      </c>
      <c r="FZ48" s="24">
        <v>34</v>
      </c>
      <c r="GA48" s="24">
        <v>87910000</v>
      </c>
      <c r="GB48" s="24">
        <v>67</v>
      </c>
      <c r="GC48" s="24">
        <v>96592229</v>
      </c>
      <c r="GD48" s="24">
        <v>197</v>
      </c>
      <c r="GE48" s="24">
        <v>277521516</v>
      </c>
      <c r="GF48" s="24">
        <v>278813673</v>
      </c>
      <c r="GG48" s="24">
        <v>22086393</v>
      </c>
      <c r="GH48" s="38">
        <v>7.9200000000000007E-2</v>
      </c>
      <c r="GI48" s="24">
        <v>35</v>
      </c>
      <c r="GJ48" s="24">
        <v>64320000</v>
      </c>
      <c r="GK48" s="24">
        <v>53</v>
      </c>
      <c r="GL48" s="24">
        <v>100623486</v>
      </c>
      <c r="GM48" s="24">
        <v>179</v>
      </c>
      <c r="GN48" s="24">
        <v>241218030</v>
      </c>
      <c r="GO48" s="24">
        <v>264124753</v>
      </c>
      <c r="GP48" s="24">
        <v>20212171</v>
      </c>
      <c r="GQ48" s="38">
        <v>7.6499999999999999E-2</v>
      </c>
      <c r="GR48" s="24">
        <v>23</v>
      </c>
      <c r="GS48" s="24">
        <v>55620000</v>
      </c>
      <c r="GT48" s="24">
        <v>59</v>
      </c>
      <c r="GU48" s="24">
        <v>90814489</v>
      </c>
      <c r="GV48" s="24">
        <v>143</v>
      </c>
      <c r="GW48" s="24">
        <v>206023541</v>
      </c>
      <c r="GX48" s="24">
        <v>220038867</v>
      </c>
      <c r="GY48" s="24">
        <v>15956227</v>
      </c>
      <c r="GZ48" s="38">
        <v>7.2499999999999995E-2</v>
      </c>
      <c r="HA48" s="24">
        <v>31</v>
      </c>
      <c r="HB48" s="24">
        <v>71680000</v>
      </c>
      <c r="HC48" s="24">
        <v>49</v>
      </c>
      <c r="HD48" s="24">
        <v>73935181</v>
      </c>
      <c r="HE48" s="24">
        <v>125</v>
      </c>
      <c r="HF48" s="24">
        <v>203768360</v>
      </c>
      <c r="HG48" s="24">
        <v>198493387</v>
      </c>
      <c r="HH48" s="24">
        <v>14052447</v>
      </c>
      <c r="HI48" s="38">
        <v>7.0800000000000002E-2</v>
      </c>
      <c r="HJ48" s="24">
        <v>17</v>
      </c>
      <c r="HK48" s="24">
        <v>33520500</v>
      </c>
      <c r="HL48" s="24">
        <v>38</v>
      </c>
      <c r="HM48" s="24">
        <v>67779972</v>
      </c>
      <c r="HN48" s="24">
        <v>104</v>
      </c>
      <c r="HO48" s="24">
        <v>169508888</v>
      </c>
      <c r="HP48" s="24">
        <v>185976465</v>
      </c>
      <c r="HQ48" s="24">
        <v>13193756</v>
      </c>
      <c r="HR48" s="38">
        <v>7.0900000000000005E-2</v>
      </c>
      <c r="HS48" s="24">
        <v>9</v>
      </c>
      <c r="HT48" s="24">
        <v>16173557</v>
      </c>
      <c r="HU48" s="24">
        <v>24</v>
      </c>
      <c r="HV48" s="24">
        <v>41864610</v>
      </c>
      <c r="HW48" s="24">
        <v>82</v>
      </c>
      <c r="HX48" s="24">
        <v>123706663</v>
      </c>
      <c r="HY48" s="24">
        <v>133167572</v>
      </c>
      <c r="HZ48" s="24">
        <v>9163341</v>
      </c>
      <c r="IA48" s="38">
        <v>6.88E-2</v>
      </c>
      <c r="IB48" s="24">
        <v>13</v>
      </c>
      <c r="IC48" s="24">
        <v>20410000</v>
      </c>
      <c r="ID48" s="24">
        <v>29</v>
      </c>
      <c r="IE48" s="24">
        <v>52591339</v>
      </c>
      <c r="IF48" s="24">
        <v>66</v>
      </c>
      <c r="IG48" s="24">
        <v>91525324</v>
      </c>
      <c r="IH48" s="24">
        <v>101318012</v>
      </c>
      <c r="II48" s="24">
        <v>6962973</v>
      </c>
      <c r="IJ48" s="38">
        <v>6.8699999999999997E-2</v>
      </c>
      <c r="IK48" s="24">
        <v>12</v>
      </c>
      <c r="IL48" s="24">
        <v>23270000</v>
      </c>
      <c r="IM48" s="24">
        <v>21</v>
      </c>
      <c r="IN48" s="24">
        <v>28831382</v>
      </c>
      <c r="IO48" s="24">
        <v>57</v>
      </c>
      <c r="IP48" s="24">
        <v>85963942</v>
      </c>
      <c r="IQ48" s="24">
        <v>85813675</v>
      </c>
      <c r="IR48" s="24">
        <v>5828321</v>
      </c>
      <c r="IS48" s="38">
        <v>6.7900000000000002E-2</v>
      </c>
      <c r="IT48" s="24">
        <v>11</v>
      </c>
      <c r="IU48" s="24">
        <v>14700000</v>
      </c>
      <c r="IV48" s="24">
        <v>19</v>
      </c>
      <c r="IW48" s="24">
        <v>27245779</v>
      </c>
      <c r="IX48" s="24">
        <v>49</v>
      </c>
      <c r="IY48" s="24">
        <v>73418163</v>
      </c>
      <c r="IZ48" s="24">
        <v>79061529</v>
      </c>
      <c r="JA48" s="24">
        <v>5389839</v>
      </c>
      <c r="JB48" s="38">
        <v>6.8199999999999997E-2</v>
      </c>
      <c r="JC48" s="24">
        <v>5</v>
      </c>
      <c r="JD48" s="24">
        <v>8740000</v>
      </c>
      <c r="JE48" s="24">
        <v>13</v>
      </c>
      <c r="JF48" s="24">
        <v>22839273</v>
      </c>
      <c r="JG48" s="24">
        <v>41</v>
      </c>
      <c r="JH48" s="24">
        <v>59318890</v>
      </c>
      <c r="JI48" s="24">
        <v>67218568</v>
      </c>
      <c r="JJ48" s="24">
        <v>4493065</v>
      </c>
      <c r="JK48" s="38">
        <v>6.6799999999999998E-2</v>
      </c>
      <c r="JL48" s="24">
        <v>9</v>
      </c>
      <c r="JM48" s="24">
        <v>11650000</v>
      </c>
      <c r="JN48" s="24">
        <v>12</v>
      </c>
      <c r="JO48" s="24">
        <v>22365502</v>
      </c>
      <c r="JP48" s="24">
        <v>38</v>
      </c>
      <c r="JQ48" s="24">
        <v>48603388</v>
      </c>
      <c r="JR48" s="24">
        <v>52865156</v>
      </c>
      <c r="JS48" s="24">
        <v>3461609</v>
      </c>
      <c r="JT48" s="38">
        <v>6.5500000000000003E-2</v>
      </c>
      <c r="JU48" s="24">
        <v>4</v>
      </c>
      <c r="JV48" s="24">
        <v>5340000</v>
      </c>
      <c r="JW48" s="24">
        <v>10</v>
      </c>
      <c r="JX48" s="24">
        <v>14941974</v>
      </c>
      <c r="JY48" s="24">
        <v>32</v>
      </c>
      <c r="JZ48" s="24">
        <v>39001414</v>
      </c>
      <c r="KA48" s="24">
        <v>42439367</v>
      </c>
      <c r="KB48" s="24">
        <v>2704255</v>
      </c>
      <c r="KC48" s="38">
        <v>6.3700000000000007E-2</v>
      </c>
      <c r="KD48" s="24">
        <v>7</v>
      </c>
      <c r="KE48" s="24">
        <v>13800000</v>
      </c>
      <c r="KF48" s="24">
        <v>9</v>
      </c>
      <c r="KG48" s="24">
        <v>13166081</v>
      </c>
      <c r="KH48" s="24">
        <v>30</v>
      </c>
      <c r="KI48" s="24">
        <v>39635333</v>
      </c>
      <c r="KJ48" s="24">
        <v>40101592</v>
      </c>
      <c r="KK48" s="24">
        <v>2520740</v>
      </c>
      <c r="KL48" s="38">
        <v>6.2899999999999998E-2</v>
      </c>
      <c r="KM48" s="24">
        <v>10</v>
      </c>
      <c r="KN48" s="24">
        <v>20710000</v>
      </c>
      <c r="KO48" s="24">
        <v>15</v>
      </c>
      <c r="KP48" s="24">
        <v>20238625</v>
      </c>
      <c r="KQ48" s="24">
        <v>25</v>
      </c>
      <c r="KR48" s="24">
        <v>40106708</v>
      </c>
      <c r="KS48" s="24">
        <v>40196945</v>
      </c>
      <c r="KT48" s="24">
        <v>2464017</v>
      </c>
      <c r="KU48" s="38">
        <v>6.13E-2</v>
      </c>
      <c r="KV48" s="24">
        <v>4</v>
      </c>
      <c r="KW48" s="24">
        <v>10520000</v>
      </c>
      <c r="KX48" s="24">
        <v>5</v>
      </c>
      <c r="KY48" s="24">
        <v>11287523</v>
      </c>
      <c r="KZ48" s="24">
        <v>24</v>
      </c>
      <c r="LA48" s="24">
        <v>39339185</v>
      </c>
      <c r="LB48" s="24">
        <v>37672638</v>
      </c>
      <c r="LC48" s="24">
        <v>2307262</v>
      </c>
      <c r="LD48" s="38">
        <v>6.1199999999999997E-2</v>
      </c>
      <c r="LE48" s="24">
        <v>2</v>
      </c>
      <c r="LF48" s="24">
        <v>1160000</v>
      </c>
      <c r="LG48" s="24">
        <v>5</v>
      </c>
      <c r="LH48" s="24">
        <v>9907373</v>
      </c>
      <c r="LI48" s="24">
        <v>21</v>
      </c>
      <c r="LJ48" s="24">
        <v>30591812</v>
      </c>
      <c r="LK48" s="24">
        <v>34349574</v>
      </c>
      <c r="LL48" s="24">
        <v>2184734</v>
      </c>
      <c r="LM48" s="38">
        <v>6.3600000000000004E-2</v>
      </c>
      <c r="LN48" s="24">
        <v>3</v>
      </c>
      <c r="LO48" s="24">
        <v>5090000</v>
      </c>
      <c r="LP48" s="24">
        <v>8</v>
      </c>
      <c r="LQ48" s="24">
        <v>11683396</v>
      </c>
      <c r="LR48" s="24">
        <v>16</v>
      </c>
      <c r="LS48" s="24">
        <v>23998416</v>
      </c>
      <c r="LT48" s="24">
        <v>25303422</v>
      </c>
      <c r="LU48" s="24">
        <v>1621966</v>
      </c>
      <c r="LV48" s="38">
        <v>6.4100000000000004E-2</v>
      </c>
      <c r="LW48" s="24">
        <v>4</v>
      </c>
      <c r="LX48" s="24">
        <v>5730000</v>
      </c>
      <c r="LY48" s="24">
        <v>3</v>
      </c>
      <c r="LZ48" s="24">
        <v>6618581</v>
      </c>
      <c r="MA48" s="24">
        <v>17</v>
      </c>
      <c r="MB48" s="24">
        <v>23109835</v>
      </c>
      <c r="MC48" s="24">
        <v>24866700</v>
      </c>
      <c r="MD48" s="24">
        <v>1646699</v>
      </c>
      <c r="ME48" s="38">
        <v>6.6199999999999995E-2</v>
      </c>
      <c r="MF48" s="24">
        <v>1</v>
      </c>
      <c r="MG48" s="24">
        <v>300000</v>
      </c>
      <c r="MH48" s="24">
        <v>3</v>
      </c>
      <c r="MI48" s="24">
        <v>5447225</v>
      </c>
      <c r="MJ48" s="24">
        <v>15</v>
      </c>
      <c r="MK48" s="24">
        <v>17962610</v>
      </c>
      <c r="ML48" s="24">
        <v>20169801</v>
      </c>
      <c r="MM48" s="24">
        <v>1368933</v>
      </c>
      <c r="MN48" s="38">
        <v>6.7900000000000002E-2</v>
      </c>
      <c r="MO48" s="24"/>
      <c r="MP48" s="24"/>
      <c r="MQ48" s="24">
        <v>2</v>
      </c>
      <c r="MR48" s="24">
        <v>4261478</v>
      </c>
      <c r="MS48" s="24">
        <v>13</v>
      </c>
      <c r="MT48" s="24">
        <v>13701132</v>
      </c>
      <c r="MU48" s="24">
        <v>15615386</v>
      </c>
      <c r="MV48" s="24">
        <v>1071311</v>
      </c>
      <c r="MW48" s="38">
        <v>6.8599999999999994E-2</v>
      </c>
      <c r="MX48" s="24">
        <v>2</v>
      </c>
      <c r="MY48" s="24">
        <v>3030000</v>
      </c>
      <c r="MZ48" s="24">
        <v>4</v>
      </c>
      <c r="NA48" s="24">
        <v>6000809</v>
      </c>
      <c r="NB48" s="24">
        <v>11</v>
      </c>
      <c r="NC48" s="24">
        <v>10730323</v>
      </c>
      <c r="ND48" s="24">
        <v>12120428</v>
      </c>
      <c r="NE48" s="24">
        <v>842086</v>
      </c>
      <c r="NF48" s="38">
        <v>6.9500000000000006E-2</v>
      </c>
      <c r="NG48" s="24">
        <v>3</v>
      </c>
      <c r="NH48" s="24">
        <v>3270000</v>
      </c>
      <c r="NI48" s="24">
        <v>4</v>
      </c>
      <c r="NJ48" s="24">
        <v>5982804</v>
      </c>
      <c r="NK48" s="24">
        <v>10</v>
      </c>
      <c r="NL48" s="24">
        <v>8017519</v>
      </c>
      <c r="NM48" s="24">
        <v>9841154</v>
      </c>
      <c r="NN48" s="24">
        <v>547958</v>
      </c>
      <c r="NO48" s="38">
        <v>5.57E-2</v>
      </c>
      <c r="NP48" s="24"/>
      <c r="NQ48" s="24"/>
      <c r="NR48" s="24">
        <v>3</v>
      </c>
      <c r="NS48" s="24">
        <v>2847128</v>
      </c>
      <c r="NT48" s="24">
        <v>7</v>
      </c>
      <c r="NU48" s="24">
        <v>5170391</v>
      </c>
      <c r="NV48" s="24">
        <v>6555719</v>
      </c>
      <c r="NW48" s="24">
        <v>460685</v>
      </c>
      <c r="NX48" s="38">
        <v>7.0300000000000001E-2</v>
      </c>
      <c r="NY48" s="24">
        <v>1</v>
      </c>
      <c r="NZ48" s="24">
        <v>1000000</v>
      </c>
      <c r="OA48" s="24">
        <v>1</v>
      </c>
      <c r="OB48" s="24">
        <v>1885937</v>
      </c>
      <c r="OC48" s="24">
        <v>7</v>
      </c>
      <c r="OD48" s="24">
        <v>4284454</v>
      </c>
      <c r="OE48" s="24">
        <v>5159875</v>
      </c>
      <c r="OF48" s="24">
        <v>354662</v>
      </c>
      <c r="OG48" s="38">
        <v>6.8699999999999997E-2</v>
      </c>
      <c r="OH48" s="24">
        <v>1</v>
      </c>
      <c r="OI48" s="24">
        <v>1000000</v>
      </c>
      <c r="OJ48" s="24">
        <v>3</v>
      </c>
      <c r="OK48" s="24">
        <v>1641397</v>
      </c>
      <c r="OL48" s="24">
        <v>5</v>
      </c>
      <c r="OM48" s="24">
        <v>3643057</v>
      </c>
      <c r="ON48" s="24">
        <v>4202337</v>
      </c>
      <c r="OO48" s="24">
        <v>297228</v>
      </c>
      <c r="OP48" s="38">
        <v>7.0699999999999999E-2</v>
      </c>
      <c r="OQ48" s="24"/>
      <c r="OR48" s="24"/>
      <c r="OS48" s="24">
        <v>3</v>
      </c>
      <c r="OT48" s="24">
        <v>2397680</v>
      </c>
      <c r="OU48" s="24">
        <v>2</v>
      </c>
      <c r="OV48" s="24">
        <v>1245377</v>
      </c>
      <c r="OW48" s="24">
        <v>2686824</v>
      </c>
      <c r="OX48" s="24">
        <v>193960</v>
      </c>
      <c r="OY48" s="38">
        <v>7.22E-2</v>
      </c>
    </row>
    <row r="49" spans="1:424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  <c r="K49" s="24"/>
      <c r="L49" s="24"/>
      <c r="M49" s="24"/>
      <c r="N49" s="24"/>
      <c r="O49" s="24"/>
      <c r="P49" s="24"/>
      <c r="Q49" s="24"/>
      <c r="R49" s="24"/>
      <c r="S49" s="38"/>
      <c r="T49" s="24"/>
      <c r="U49" s="24"/>
      <c r="V49" s="24"/>
      <c r="W49" s="24"/>
      <c r="X49" s="24"/>
      <c r="Y49" s="24"/>
      <c r="Z49" s="24"/>
      <c r="AA49" s="24"/>
      <c r="AB49" s="38"/>
      <c r="AC49" s="24"/>
      <c r="AD49" s="24"/>
      <c r="AE49" s="24"/>
      <c r="AF49" s="24"/>
      <c r="AG49" s="24"/>
      <c r="AH49" s="24"/>
      <c r="AI49" s="24"/>
      <c r="AJ49" s="24"/>
      <c r="AK49" s="38"/>
      <c r="AL49" s="24"/>
      <c r="AM49" s="24"/>
      <c r="AN49" s="24"/>
      <c r="AO49" s="24"/>
      <c r="AP49" s="24"/>
      <c r="AQ49" s="24"/>
      <c r="AR49" s="24"/>
      <c r="AS49" s="24"/>
      <c r="AT49" s="38"/>
      <c r="AU49" s="24"/>
      <c r="AV49" s="24"/>
      <c r="AW49" s="24"/>
      <c r="AX49" s="24"/>
      <c r="AY49" s="24"/>
      <c r="AZ49" s="24"/>
      <c r="BA49" s="24"/>
      <c r="BB49" s="24"/>
      <c r="BC49" s="38"/>
      <c r="BD49" s="24"/>
      <c r="BE49" s="24"/>
      <c r="BF49" s="24"/>
      <c r="BG49" s="24"/>
      <c r="BH49" s="24"/>
      <c r="BI49" s="24"/>
      <c r="BJ49" s="24"/>
      <c r="BK49" s="24"/>
      <c r="BL49" s="38"/>
      <c r="BM49" s="24"/>
      <c r="BN49" s="24"/>
      <c r="BO49" s="24"/>
      <c r="BP49" s="24"/>
      <c r="BQ49" s="24"/>
      <c r="BR49" s="24"/>
      <c r="BS49" s="24"/>
      <c r="BT49" s="24"/>
      <c r="BU49" s="38"/>
      <c r="BV49" s="24"/>
      <c r="BW49" s="24"/>
      <c r="BX49" s="24"/>
      <c r="BY49" s="24"/>
      <c r="BZ49" s="24"/>
      <c r="CA49" s="24"/>
      <c r="CB49" s="24"/>
      <c r="CC49" s="24"/>
      <c r="CD49" s="38"/>
      <c r="CE49" s="24"/>
      <c r="CF49" s="24"/>
      <c r="CG49" s="24"/>
      <c r="CH49" s="24"/>
      <c r="CI49" s="24"/>
      <c r="CJ49" s="24"/>
      <c r="CK49" s="24"/>
      <c r="CL49" s="24"/>
      <c r="CM49" s="38"/>
      <c r="CN49" s="24"/>
      <c r="CO49" s="24"/>
      <c r="CP49" s="24"/>
      <c r="CQ49" s="24"/>
      <c r="CR49" s="24"/>
      <c r="CS49" s="24"/>
      <c r="CT49" s="24"/>
      <c r="CU49" s="24"/>
      <c r="CV49" s="38"/>
      <c r="CW49" s="24"/>
      <c r="CX49" s="24"/>
      <c r="CY49" s="24"/>
      <c r="CZ49" s="24"/>
      <c r="DA49" s="24"/>
      <c r="DB49" s="24"/>
      <c r="DC49" s="24"/>
      <c r="DD49" s="24"/>
      <c r="DE49" s="38"/>
      <c r="DF49" s="24"/>
      <c r="DG49" s="24"/>
      <c r="DH49" s="24"/>
      <c r="DI49" s="24"/>
      <c r="DJ49" s="24"/>
      <c r="DK49" s="24"/>
      <c r="DL49" s="24"/>
      <c r="DM49" s="24"/>
      <c r="DN49" s="38"/>
      <c r="DO49" s="24"/>
      <c r="DP49" s="24"/>
      <c r="DQ49" s="24"/>
      <c r="DR49" s="24"/>
      <c r="DS49" s="24"/>
      <c r="DT49" s="24"/>
      <c r="DU49" s="24"/>
      <c r="DV49" s="24"/>
      <c r="DW49" s="38"/>
      <c r="DX49" s="24"/>
      <c r="DY49" s="24"/>
      <c r="DZ49" s="24"/>
      <c r="EA49" s="24"/>
      <c r="EB49" s="24"/>
      <c r="EC49" s="24"/>
      <c r="ED49" s="24"/>
      <c r="EE49" s="24"/>
      <c r="EF49" s="38"/>
      <c r="EG49" s="24"/>
      <c r="EH49" s="24"/>
      <c r="EI49" s="24"/>
      <c r="EJ49" s="24"/>
      <c r="EK49" s="24"/>
      <c r="EL49" s="24"/>
      <c r="EM49" s="24"/>
      <c r="EN49" s="24"/>
      <c r="EO49" s="38"/>
      <c r="EP49" s="24"/>
      <c r="EQ49" s="24"/>
      <c r="ER49" s="24"/>
      <c r="ES49" s="24"/>
      <c r="ET49" s="24"/>
      <c r="EU49" s="24"/>
      <c r="EV49" s="24"/>
      <c r="EW49" s="24"/>
      <c r="EX49" s="38"/>
      <c r="EY49" s="24"/>
      <c r="EZ49" s="24"/>
      <c r="FA49" s="24"/>
      <c r="FB49" s="24"/>
      <c r="FC49" s="24"/>
      <c r="FD49" s="24"/>
      <c r="FE49" s="24"/>
      <c r="FF49" s="24"/>
      <c r="FG49" s="38"/>
      <c r="FH49" s="24"/>
      <c r="FI49" s="24"/>
      <c r="FJ49" s="24"/>
      <c r="FK49" s="24"/>
      <c r="FL49" s="24"/>
      <c r="FM49" s="24"/>
      <c r="FN49" s="24"/>
      <c r="FO49" s="24"/>
      <c r="FP49" s="38"/>
      <c r="FQ49" s="24"/>
      <c r="FR49" s="24"/>
      <c r="FS49" s="24"/>
      <c r="FT49" s="24"/>
      <c r="FU49" s="24"/>
      <c r="FV49" s="24"/>
      <c r="FW49" s="24"/>
      <c r="FX49" s="24"/>
      <c r="FY49" s="38"/>
      <c r="FZ49" s="24"/>
      <c r="GA49" s="24"/>
      <c r="GB49" s="24"/>
      <c r="GC49" s="24"/>
      <c r="GD49" s="24"/>
      <c r="GE49" s="24"/>
      <c r="GF49" s="24"/>
      <c r="GG49" s="24"/>
      <c r="GH49" s="38"/>
      <c r="GI49" s="24"/>
      <c r="GJ49" s="24"/>
      <c r="GK49" s="24"/>
      <c r="GL49" s="24"/>
      <c r="GM49" s="24"/>
      <c r="GN49" s="24"/>
      <c r="GO49" s="24"/>
      <c r="GP49" s="24"/>
      <c r="GQ49" s="38"/>
      <c r="GR49" s="24"/>
      <c r="GS49" s="24"/>
      <c r="GT49" s="24"/>
      <c r="GU49" s="24"/>
      <c r="GV49" s="24"/>
      <c r="GW49" s="24"/>
      <c r="GX49" s="24"/>
      <c r="GY49" s="24"/>
      <c r="GZ49" s="38"/>
      <c r="HA49" s="24"/>
      <c r="HB49" s="24"/>
      <c r="HC49" s="24"/>
      <c r="HD49" s="24"/>
      <c r="HE49" s="24"/>
      <c r="HF49" s="24"/>
      <c r="HG49" s="24"/>
      <c r="HH49" s="24"/>
      <c r="HI49" s="38"/>
      <c r="HJ49" s="24"/>
      <c r="HK49" s="24"/>
      <c r="HL49" s="24"/>
      <c r="HM49" s="24"/>
      <c r="HN49" s="24"/>
      <c r="HO49" s="24"/>
      <c r="HP49" s="24"/>
      <c r="HQ49" s="24"/>
      <c r="HR49" s="38"/>
      <c r="HS49" s="24">
        <v>0</v>
      </c>
      <c r="HT49" s="24">
        <v>0</v>
      </c>
      <c r="HU49" s="24">
        <v>2</v>
      </c>
      <c r="HV49" s="24">
        <v>5649301</v>
      </c>
      <c r="HW49" s="24">
        <v>5</v>
      </c>
      <c r="HX49" s="24">
        <v>14461871</v>
      </c>
      <c r="HY49" s="24">
        <v>18962628</v>
      </c>
      <c r="HZ49" s="24">
        <v>1543044</v>
      </c>
      <c r="IA49" s="38">
        <v>8.14E-2</v>
      </c>
      <c r="IB49" s="24">
        <v>0</v>
      </c>
      <c r="IC49" s="24">
        <v>0</v>
      </c>
      <c r="ID49" s="24">
        <v>1</v>
      </c>
      <c r="IE49" s="24">
        <v>6430037</v>
      </c>
      <c r="IF49" s="24">
        <v>4</v>
      </c>
      <c r="IG49" s="24">
        <v>8031834</v>
      </c>
      <c r="IH49" s="24">
        <v>11782021</v>
      </c>
      <c r="II49" s="24">
        <v>892839</v>
      </c>
      <c r="IJ49" s="38">
        <v>7.5800000000000006E-2</v>
      </c>
      <c r="IK49" s="24">
        <v>1</v>
      </c>
      <c r="IL49" s="24">
        <v>300000</v>
      </c>
      <c r="IM49" s="24">
        <v>1</v>
      </c>
      <c r="IN49" s="24">
        <v>2790905</v>
      </c>
      <c r="IO49" s="24">
        <v>4</v>
      </c>
      <c r="IP49" s="24">
        <v>5540929</v>
      </c>
      <c r="IQ49" s="24">
        <v>8351685</v>
      </c>
      <c r="IR49" s="24">
        <v>519035</v>
      </c>
      <c r="IS49" s="38">
        <v>6.2100000000000002E-2</v>
      </c>
      <c r="IT49" s="24"/>
      <c r="IU49" s="24"/>
      <c r="IV49" s="24">
        <v>2</v>
      </c>
      <c r="IW49" s="24">
        <v>800859</v>
      </c>
      <c r="IX49" s="24">
        <v>2</v>
      </c>
      <c r="IY49" s="24">
        <v>4740070</v>
      </c>
      <c r="IZ49" s="24">
        <v>5353324</v>
      </c>
      <c r="JA49" s="24">
        <v>273054</v>
      </c>
      <c r="JB49" s="38">
        <v>5.0999999999999997E-2</v>
      </c>
      <c r="JC49" s="24">
        <v>1</v>
      </c>
      <c r="JD49" s="24">
        <v>3152278</v>
      </c>
      <c r="JE49" s="24">
        <v>1</v>
      </c>
      <c r="JF49" s="24">
        <v>2046617</v>
      </c>
      <c r="JG49" s="24">
        <v>2</v>
      </c>
      <c r="JH49" s="24">
        <v>5845731</v>
      </c>
      <c r="JI49" s="24">
        <v>4685106</v>
      </c>
      <c r="JJ49" s="24">
        <v>303716</v>
      </c>
      <c r="JK49" s="38">
        <v>6.4799999999999996E-2</v>
      </c>
      <c r="JL49" s="24">
        <v>1</v>
      </c>
      <c r="JM49" s="24">
        <v>1650000</v>
      </c>
      <c r="JN49" s="24">
        <v>0</v>
      </c>
      <c r="JO49" s="24">
        <v>1376144</v>
      </c>
      <c r="JP49" s="24">
        <v>3</v>
      </c>
      <c r="JQ49" s="24">
        <v>6119587</v>
      </c>
      <c r="JR49" s="24">
        <v>6340633</v>
      </c>
      <c r="JS49" s="24">
        <v>466888</v>
      </c>
      <c r="JT49" s="38">
        <v>7.3599999999999999E-2</v>
      </c>
      <c r="JU49" s="24">
        <v>0</v>
      </c>
      <c r="JV49" s="24">
        <v>0</v>
      </c>
      <c r="JW49" s="24">
        <v>0</v>
      </c>
      <c r="JX49" s="24">
        <v>1565048</v>
      </c>
      <c r="JY49" s="24">
        <v>3</v>
      </c>
      <c r="JZ49" s="24">
        <v>4554539</v>
      </c>
      <c r="KA49" s="24">
        <v>5345169</v>
      </c>
      <c r="KB49" s="24">
        <v>367936</v>
      </c>
      <c r="KC49" s="38">
        <v>6.88E-2</v>
      </c>
      <c r="KD49" s="24">
        <v>1</v>
      </c>
      <c r="KE49" s="24">
        <v>1115077</v>
      </c>
      <c r="KF49" s="24">
        <v>0</v>
      </c>
      <c r="KG49" s="24">
        <v>1706252</v>
      </c>
      <c r="KH49" s="24">
        <v>4</v>
      </c>
      <c r="KI49" s="24">
        <v>3963364</v>
      </c>
      <c r="KJ49" s="24">
        <v>3979493</v>
      </c>
      <c r="KK49" s="24">
        <v>273710</v>
      </c>
      <c r="KL49" s="38">
        <v>6.88E-2</v>
      </c>
      <c r="KM49" s="24">
        <v>2</v>
      </c>
      <c r="KN49" s="24">
        <v>2370000</v>
      </c>
      <c r="KO49" s="24">
        <v>2</v>
      </c>
      <c r="KP49" s="24">
        <v>2665667</v>
      </c>
      <c r="KQ49" s="24">
        <v>4</v>
      </c>
      <c r="KR49" s="24">
        <v>3667697</v>
      </c>
      <c r="KS49" s="24">
        <v>3348497</v>
      </c>
      <c r="KT49" s="24">
        <v>224255</v>
      </c>
      <c r="KU49" s="38">
        <v>6.7000000000000004E-2</v>
      </c>
      <c r="KV49" s="24">
        <v>0</v>
      </c>
      <c r="KW49" s="24">
        <v>0</v>
      </c>
      <c r="KX49" s="24">
        <v>2</v>
      </c>
      <c r="KY49" s="24">
        <v>1881105</v>
      </c>
      <c r="KZ49" s="24">
        <v>2</v>
      </c>
      <c r="LA49" s="24">
        <v>1786592</v>
      </c>
      <c r="LB49" s="24">
        <v>2629425</v>
      </c>
      <c r="LC49" s="24">
        <v>183562</v>
      </c>
      <c r="LD49" s="38">
        <v>6.9800000000000001E-2</v>
      </c>
      <c r="LE49" s="24"/>
      <c r="LF49" s="24"/>
      <c r="LG49" s="24">
        <v>0</v>
      </c>
      <c r="LH49" s="24">
        <v>1046615</v>
      </c>
      <c r="LI49" s="24">
        <v>2</v>
      </c>
      <c r="LJ49" s="24">
        <v>739977</v>
      </c>
      <c r="LK49" s="24">
        <v>1268706</v>
      </c>
      <c r="LL49" s="24">
        <v>89257</v>
      </c>
      <c r="LM49" s="38">
        <v>7.0400000000000004E-2</v>
      </c>
      <c r="LN49" s="24"/>
      <c r="LO49" s="24"/>
      <c r="LP49" s="24">
        <v>1</v>
      </c>
      <c r="LQ49" s="24">
        <v>526910</v>
      </c>
      <c r="LR49" s="24">
        <v>1</v>
      </c>
      <c r="LS49" s="24">
        <v>213067</v>
      </c>
      <c r="LT49" s="24">
        <v>362245</v>
      </c>
      <c r="LU49" s="24">
        <v>27493</v>
      </c>
      <c r="LV49" s="38">
        <v>7.5899999999999995E-2</v>
      </c>
      <c r="LW49" s="24"/>
      <c r="LX49" s="24"/>
      <c r="LY49" s="24">
        <v>1</v>
      </c>
      <c r="LZ49" s="24">
        <v>213067</v>
      </c>
      <c r="MA49" s="24"/>
      <c r="MB49" s="24"/>
      <c r="MC49" s="24">
        <v>62622</v>
      </c>
      <c r="MD49" s="24">
        <v>5495</v>
      </c>
      <c r="ME49" s="38">
        <v>8.77E-2</v>
      </c>
      <c r="MF49" s="24"/>
      <c r="MG49" s="24"/>
      <c r="MH49" s="24"/>
      <c r="MI49" s="24"/>
      <c r="MJ49" s="24"/>
      <c r="MK49" s="24"/>
      <c r="ML49" s="24"/>
      <c r="MM49" s="24"/>
      <c r="MN49" s="38"/>
      <c r="MO49" s="24"/>
      <c r="MP49" s="24"/>
      <c r="MQ49" s="24"/>
      <c r="MR49" s="24"/>
      <c r="MS49" s="24"/>
      <c r="MT49" s="24"/>
      <c r="MU49" s="24"/>
      <c r="MV49" s="24"/>
      <c r="MW49" s="38"/>
      <c r="MX49" s="24"/>
      <c r="MY49" s="24"/>
      <c r="MZ49" s="24"/>
      <c r="NA49" s="24"/>
      <c r="NB49" s="24"/>
      <c r="NC49" s="24"/>
      <c r="ND49" s="24"/>
      <c r="NE49" s="24"/>
      <c r="NF49" s="38"/>
      <c r="NG49" s="24"/>
      <c r="NH49" s="24"/>
      <c r="NI49" s="24"/>
      <c r="NJ49" s="24"/>
      <c r="NK49" s="24"/>
      <c r="NL49" s="24"/>
      <c r="NM49" s="24"/>
      <c r="NN49" s="24"/>
      <c r="NO49" s="38"/>
      <c r="NP49" s="24"/>
      <c r="NQ49" s="24"/>
      <c r="NR49" s="24"/>
      <c r="NS49" s="24"/>
      <c r="NT49" s="24"/>
      <c r="NU49" s="24"/>
      <c r="NV49" s="24"/>
      <c r="NW49" s="24"/>
      <c r="NX49" s="38"/>
      <c r="NY49" s="24"/>
      <c r="NZ49" s="24"/>
      <c r="OA49" s="24"/>
      <c r="OB49" s="24"/>
      <c r="OC49" s="24"/>
      <c r="OD49" s="24"/>
      <c r="OE49" s="24"/>
      <c r="OF49" s="24"/>
      <c r="OG49" s="38"/>
      <c r="OH49" s="24"/>
      <c r="OI49" s="24"/>
      <c r="OJ49" s="24"/>
      <c r="OK49" s="24"/>
      <c r="OL49" s="24"/>
      <c r="OM49" s="24"/>
      <c r="ON49" s="24"/>
      <c r="OO49" s="24"/>
      <c r="OP49" s="38"/>
      <c r="OQ49" s="24"/>
      <c r="OR49" s="24"/>
      <c r="OS49" s="24"/>
      <c r="OT49" s="24"/>
      <c r="OU49" s="24"/>
      <c r="OV49" s="24"/>
      <c r="OW49" s="24"/>
      <c r="OX49" s="24"/>
      <c r="OY49" s="38"/>
    </row>
    <row r="50" spans="1:424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  <c r="K50" s="24"/>
      <c r="L50" s="24"/>
      <c r="M50" s="24"/>
      <c r="N50" s="24"/>
      <c r="O50" s="24"/>
      <c r="P50" s="24"/>
      <c r="Q50" s="24"/>
      <c r="R50" s="24"/>
      <c r="S50" s="38"/>
      <c r="T50" s="24"/>
      <c r="U50" s="24"/>
      <c r="V50" s="24"/>
      <c r="W50" s="24"/>
      <c r="X50" s="24"/>
      <c r="Y50" s="24"/>
      <c r="Z50" s="24"/>
      <c r="AA50" s="24"/>
      <c r="AB50" s="38"/>
      <c r="AC50" s="24"/>
      <c r="AD50" s="24"/>
      <c r="AE50" s="24"/>
      <c r="AF50" s="24"/>
      <c r="AG50" s="24"/>
      <c r="AH50" s="24"/>
      <c r="AI50" s="24"/>
      <c r="AJ50" s="24"/>
      <c r="AK50" s="38"/>
      <c r="AL50" s="24"/>
      <c r="AM50" s="24"/>
      <c r="AN50" s="24"/>
      <c r="AO50" s="24"/>
      <c r="AP50" s="24"/>
      <c r="AQ50" s="24"/>
      <c r="AR50" s="24"/>
      <c r="AS50" s="24"/>
      <c r="AT50" s="38"/>
      <c r="AU50" s="24"/>
      <c r="AV50" s="24"/>
      <c r="AW50" s="24"/>
      <c r="AX50" s="24"/>
      <c r="AY50" s="24"/>
      <c r="AZ50" s="24"/>
      <c r="BA50" s="24"/>
      <c r="BB50" s="24"/>
      <c r="BC50" s="38"/>
      <c r="BD50" s="24"/>
      <c r="BE50" s="24"/>
      <c r="BF50" s="24"/>
      <c r="BG50" s="24"/>
      <c r="BH50" s="24"/>
      <c r="BI50" s="24"/>
      <c r="BJ50" s="24"/>
      <c r="BK50" s="24"/>
      <c r="BL50" s="38"/>
      <c r="BM50" s="24"/>
      <c r="BN50" s="24"/>
      <c r="BO50" s="24"/>
      <c r="BP50" s="24"/>
      <c r="BQ50" s="24"/>
      <c r="BR50" s="24"/>
      <c r="BS50" s="24"/>
      <c r="BT50" s="24"/>
      <c r="BU50" s="38"/>
      <c r="BV50" s="24"/>
      <c r="BW50" s="24"/>
      <c r="BX50" s="24"/>
      <c r="BY50" s="24"/>
      <c r="BZ50" s="24"/>
      <c r="CA50" s="24"/>
      <c r="CB50" s="24"/>
      <c r="CC50" s="24"/>
      <c r="CD50" s="38"/>
      <c r="CE50" s="24"/>
      <c r="CF50" s="24"/>
      <c r="CG50" s="24"/>
      <c r="CH50" s="24"/>
      <c r="CI50" s="24"/>
      <c r="CJ50" s="24">
        <v>28023000</v>
      </c>
      <c r="CK50" s="24"/>
      <c r="CL50" s="24"/>
      <c r="CM50" s="38"/>
      <c r="CN50" s="24"/>
      <c r="CO50" s="24"/>
      <c r="CP50" s="24"/>
      <c r="CQ50" s="24"/>
      <c r="CR50" s="24"/>
      <c r="CS50" s="24">
        <v>26219000</v>
      </c>
      <c r="CT50" s="24"/>
      <c r="CU50" s="24"/>
      <c r="CV50" s="38"/>
      <c r="CW50" s="24"/>
      <c r="CX50" s="24"/>
      <c r="CY50" s="24"/>
      <c r="CZ50" s="24"/>
      <c r="DA50" s="24"/>
      <c r="DB50" s="24">
        <v>35865000</v>
      </c>
      <c r="DC50" s="24"/>
      <c r="DD50" s="24"/>
      <c r="DE50" s="38"/>
      <c r="DF50" s="24">
        <v>3005</v>
      </c>
      <c r="DG50" s="24">
        <v>73575000</v>
      </c>
      <c r="DH50" s="24"/>
      <c r="DI50" s="24">
        <v>74123000</v>
      </c>
      <c r="DJ50" s="24">
        <v>3000</v>
      </c>
      <c r="DK50" s="24">
        <v>36317000</v>
      </c>
      <c r="DL50" s="24">
        <v>36591000</v>
      </c>
      <c r="DM50" s="24">
        <v>3472000</v>
      </c>
      <c r="DN50" s="38">
        <v>9.4799999999999995E-2</v>
      </c>
      <c r="DO50" s="24">
        <v>2929</v>
      </c>
      <c r="DP50" s="24">
        <v>66732840</v>
      </c>
      <c r="DQ50" s="24">
        <v>2909</v>
      </c>
      <c r="DR50" s="24">
        <v>70754250</v>
      </c>
      <c r="DS50" s="24">
        <v>2854</v>
      </c>
      <c r="DT50" s="24">
        <v>32295420</v>
      </c>
      <c r="DU50" s="24">
        <v>31623670</v>
      </c>
      <c r="DV50" s="24">
        <v>3210340</v>
      </c>
      <c r="DW50" s="38">
        <v>0.10150000000000001</v>
      </c>
      <c r="DX50" s="24">
        <v>2847</v>
      </c>
      <c r="DY50" s="24">
        <v>75982320</v>
      </c>
      <c r="DZ50" s="24">
        <v>2963</v>
      </c>
      <c r="EA50" s="24">
        <v>69056840</v>
      </c>
      <c r="EB50" s="24">
        <v>2956</v>
      </c>
      <c r="EC50" s="24">
        <v>39220900</v>
      </c>
      <c r="ED50" s="24">
        <v>32707331</v>
      </c>
      <c r="EE50" s="24">
        <v>5782890</v>
      </c>
      <c r="EF50" s="38">
        <v>0.17680000000000001</v>
      </c>
      <c r="EG50" s="24">
        <v>2677</v>
      </c>
      <c r="EH50" s="24">
        <v>75913080</v>
      </c>
      <c r="EI50" s="24">
        <v>3081</v>
      </c>
      <c r="EJ50" s="24">
        <v>80710960</v>
      </c>
      <c r="EK50" s="24">
        <v>2552</v>
      </c>
      <c r="EL50" s="24">
        <v>34423020</v>
      </c>
      <c r="EM50" s="24">
        <v>35269431</v>
      </c>
      <c r="EN50" s="24">
        <v>8022180</v>
      </c>
      <c r="EO50" s="38">
        <v>0.22739999999999999</v>
      </c>
      <c r="EP50" s="24">
        <v>2471</v>
      </c>
      <c r="EQ50" s="24">
        <v>68720040</v>
      </c>
      <c r="ER50" s="24">
        <v>2467</v>
      </c>
      <c r="ES50" s="24">
        <v>69988250</v>
      </c>
      <c r="ET50" s="24">
        <v>2556</v>
      </c>
      <c r="EU50" s="24">
        <v>33154810</v>
      </c>
      <c r="EV50" s="24">
        <v>31690054</v>
      </c>
      <c r="EW50" s="24">
        <v>6910800</v>
      </c>
      <c r="EX50" s="38">
        <v>0.218</v>
      </c>
      <c r="EY50" s="24">
        <v>2361</v>
      </c>
      <c r="EZ50" s="24">
        <v>65209035</v>
      </c>
      <c r="FA50" s="24">
        <v>2644</v>
      </c>
      <c r="FB50" s="24">
        <v>66789255</v>
      </c>
      <c r="FC50" s="24">
        <v>2273</v>
      </c>
      <c r="FD50" s="24">
        <v>31574590</v>
      </c>
      <c r="FE50" s="24">
        <v>29954974</v>
      </c>
      <c r="FF50" s="24">
        <v>6537120</v>
      </c>
      <c r="FG50" s="38">
        <v>0.21820000000000001</v>
      </c>
      <c r="FH50" s="24">
        <v>2509</v>
      </c>
      <c r="FI50" s="24">
        <v>71416420</v>
      </c>
      <c r="FJ50" s="24">
        <v>2210</v>
      </c>
      <c r="FK50" s="24">
        <v>68474960</v>
      </c>
      <c r="FL50" s="24">
        <v>2572</v>
      </c>
      <c r="FM50" s="24">
        <v>34609110</v>
      </c>
      <c r="FN50" s="24">
        <v>31030010</v>
      </c>
      <c r="FO50" s="24">
        <v>7127230</v>
      </c>
      <c r="FP50" s="38">
        <v>0.2296</v>
      </c>
      <c r="FQ50" s="24">
        <v>2506</v>
      </c>
      <c r="FR50" s="24">
        <v>71569830</v>
      </c>
      <c r="FS50" s="24">
        <v>2792</v>
      </c>
      <c r="FT50" s="24">
        <v>72291360</v>
      </c>
      <c r="FU50" s="24">
        <v>2286</v>
      </c>
      <c r="FV50" s="24">
        <v>33887580</v>
      </c>
      <c r="FW50" s="24">
        <v>31692158</v>
      </c>
      <c r="FX50" s="24">
        <v>6949440</v>
      </c>
      <c r="FY50" s="38">
        <v>0.21929999999999999</v>
      </c>
      <c r="FZ50" s="24">
        <v>2530</v>
      </c>
      <c r="GA50" s="24">
        <v>79224420</v>
      </c>
      <c r="GB50" s="24">
        <v>2344</v>
      </c>
      <c r="GC50" s="24">
        <v>73727490</v>
      </c>
      <c r="GD50" s="24">
        <v>2472</v>
      </c>
      <c r="GE50" s="24">
        <v>39384510</v>
      </c>
      <c r="GF50" s="24">
        <v>33041691</v>
      </c>
      <c r="GG50" s="24">
        <v>5330450</v>
      </c>
      <c r="GH50" s="38">
        <v>0.1613</v>
      </c>
      <c r="GI50" s="24">
        <v>2578</v>
      </c>
      <c r="GJ50" s="24">
        <v>84254990</v>
      </c>
      <c r="GK50" s="24">
        <v>2602</v>
      </c>
      <c r="GL50" s="24">
        <v>84266560</v>
      </c>
      <c r="GM50" s="24">
        <v>2448</v>
      </c>
      <c r="GN50" s="24">
        <v>39372940</v>
      </c>
      <c r="GO50" s="24">
        <v>38063742</v>
      </c>
      <c r="GP50" s="24">
        <v>4071573</v>
      </c>
      <c r="GQ50" s="38">
        <v>0.107</v>
      </c>
      <c r="GR50" s="24">
        <v>1995</v>
      </c>
      <c r="GS50" s="24">
        <v>61957530</v>
      </c>
      <c r="GT50" s="24">
        <v>2523</v>
      </c>
      <c r="GU50" s="24">
        <v>77974960</v>
      </c>
      <c r="GV50" s="24">
        <v>1920</v>
      </c>
      <c r="GW50" s="24">
        <v>23355510</v>
      </c>
      <c r="GX50" s="24">
        <v>35524333</v>
      </c>
      <c r="GY50" s="24">
        <v>2879910</v>
      </c>
      <c r="GZ50" s="38">
        <v>8.1100000000000005E-2</v>
      </c>
      <c r="HA50" s="24">
        <v>7</v>
      </c>
      <c r="HB50" s="24">
        <v>384480</v>
      </c>
      <c r="HC50" s="24">
        <v>1920</v>
      </c>
      <c r="HD50" s="24">
        <v>23550470</v>
      </c>
      <c r="HE50" s="24">
        <v>7</v>
      </c>
      <c r="HF50" s="24">
        <v>189520</v>
      </c>
      <c r="HG50" s="24">
        <v>9276965</v>
      </c>
      <c r="HH50" s="24">
        <v>21150</v>
      </c>
      <c r="HI50" s="38">
        <v>2.3E-3</v>
      </c>
      <c r="HJ50" s="24">
        <v>4</v>
      </c>
      <c r="HK50" s="24">
        <v>237600</v>
      </c>
      <c r="HL50" s="24">
        <v>5</v>
      </c>
      <c r="HM50" s="24">
        <v>232880</v>
      </c>
      <c r="HN50" s="24">
        <v>6</v>
      </c>
      <c r="HO50" s="24">
        <v>194240</v>
      </c>
      <c r="HP50" s="24">
        <v>137450</v>
      </c>
      <c r="HQ50" s="24">
        <v>14020</v>
      </c>
      <c r="HR50" s="38">
        <v>0.10199999999999999</v>
      </c>
      <c r="HS50" s="24">
        <v>1</v>
      </c>
      <c r="HT50" s="24">
        <v>23520</v>
      </c>
      <c r="HU50" s="24">
        <v>5</v>
      </c>
      <c r="HV50" s="24">
        <v>184560</v>
      </c>
      <c r="HW50" s="24">
        <v>2</v>
      </c>
      <c r="HX50" s="24">
        <v>33200</v>
      </c>
      <c r="HY50" s="24">
        <v>126853</v>
      </c>
      <c r="HZ50" s="24">
        <v>5080</v>
      </c>
      <c r="IA50" s="38">
        <v>0.04</v>
      </c>
      <c r="IB50" s="24">
        <v>2</v>
      </c>
      <c r="IC50" s="24">
        <v>91440</v>
      </c>
      <c r="ID50" s="24">
        <v>2</v>
      </c>
      <c r="IE50" s="24">
        <v>96120</v>
      </c>
      <c r="IF50" s="24">
        <v>2</v>
      </c>
      <c r="IG50" s="24">
        <v>28520</v>
      </c>
      <c r="IH50" s="24">
        <v>50560</v>
      </c>
      <c r="II50" s="24">
        <v>4340</v>
      </c>
      <c r="IJ50" s="38">
        <v>83.58</v>
      </c>
      <c r="IK50" s="24">
        <v>0</v>
      </c>
      <c r="IL50" s="24">
        <v>0</v>
      </c>
      <c r="IM50" s="24">
        <v>2</v>
      </c>
      <c r="IN50" s="24">
        <v>28520</v>
      </c>
      <c r="IO50" s="24">
        <v>0</v>
      </c>
      <c r="IP50" s="24">
        <v>0</v>
      </c>
      <c r="IQ50" s="24">
        <v>4675</v>
      </c>
      <c r="IR50" s="24">
        <v>0</v>
      </c>
      <c r="IS50" s="38">
        <v>0</v>
      </c>
      <c r="IT50" s="24"/>
      <c r="IU50" s="24"/>
      <c r="IV50" s="24"/>
      <c r="IW50" s="24"/>
      <c r="IX50" s="24"/>
      <c r="IY50" s="24"/>
      <c r="IZ50" s="24"/>
      <c r="JA50" s="24"/>
      <c r="JB50" s="38"/>
      <c r="JC50" s="24"/>
      <c r="JD50" s="24"/>
      <c r="JE50" s="24"/>
      <c r="JF50" s="24"/>
      <c r="JG50" s="24"/>
      <c r="JH50" s="24"/>
      <c r="JI50" s="24"/>
      <c r="JJ50" s="24"/>
      <c r="JK50" s="38"/>
      <c r="JL50" s="24"/>
      <c r="JM50" s="24"/>
      <c r="JN50" s="24"/>
      <c r="JO50" s="24"/>
      <c r="JP50" s="24"/>
      <c r="JQ50" s="24"/>
      <c r="JR50" s="24"/>
      <c r="JS50" s="24"/>
      <c r="JT50" s="38"/>
      <c r="JU50" s="24"/>
      <c r="JV50" s="24"/>
      <c r="JW50" s="24"/>
      <c r="JX50" s="24"/>
      <c r="JY50" s="24"/>
      <c r="JZ50" s="24"/>
      <c r="KA50" s="24"/>
      <c r="KB50" s="24"/>
      <c r="KC50" s="38"/>
      <c r="KD50" s="24"/>
      <c r="KE50" s="24"/>
      <c r="KF50" s="24"/>
      <c r="KG50" s="24"/>
      <c r="KH50" s="24"/>
      <c r="KI50" s="24"/>
      <c r="KJ50" s="24"/>
      <c r="KK50" s="24"/>
      <c r="KL50" s="38"/>
      <c r="KM50" s="24"/>
      <c r="KN50" s="24"/>
      <c r="KO50" s="24"/>
      <c r="KP50" s="24"/>
      <c r="KQ50" s="24"/>
      <c r="KR50" s="24"/>
      <c r="KS50" s="24"/>
      <c r="KT50" s="24"/>
      <c r="KU50" s="38"/>
      <c r="KV50" s="24"/>
      <c r="KW50" s="24"/>
      <c r="KX50" s="24"/>
      <c r="KY50" s="24"/>
      <c r="KZ50" s="24"/>
      <c r="LA50" s="24"/>
      <c r="LB50" s="24"/>
      <c r="LC50" s="24"/>
      <c r="LD50" s="38"/>
      <c r="LE50" s="24"/>
      <c r="LF50" s="24"/>
      <c r="LG50" s="24"/>
      <c r="LH50" s="24"/>
      <c r="LI50" s="24"/>
      <c r="LJ50" s="24"/>
      <c r="LK50" s="24"/>
      <c r="LL50" s="24"/>
      <c r="LM50" s="38"/>
      <c r="LN50" s="24"/>
      <c r="LO50" s="24"/>
      <c r="LP50" s="24"/>
      <c r="LQ50" s="24"/>
      <c r="LR50" s="24"/>
      <c r="LS50" s="24"/>
      <c r="LT50" s="24"/>
      <c r="LU50" s="24"/>
      <c r="LV50" s="38"/>
      <c r="LW50" s="24"/>
      <c r="LX50" s="24"/>
      <c r="LY50" s="24"/>
      <c r="LZ50" s="24"/>
      <c r="MA50" s="24"/>
      <c r="MB50" s="24"/>
      <c r="MC50" s="24"/>
      <c r="MD50" s="24"/>
      <c r="ME50" s="38"/>
      <c r="MF50" s="24"/>
      <c r="MG50" s="24"/>
      <c r="MH50" s="24"/>
      <c r="MI50" s="24"/>
      <c r="MJ50" s="24"/>
      <c r="MK50" s="24"/>
      <c r="ML50" s="24"/>
      <c r="MM50" s="24"/>
      <c r="MN50" s="38"/>
      <c r="MO50" s="24"/>
      <c r="MP50" s="24"/>
      <c r="MQ50" s="24"/>
      <c r="MR50" s="24"/>
      <c r="MS50" s="24"/>
      <c r="MT50" s="24"/>
      <c r="MU50" s="24"/>
      <c r="MV50" s="24"/>
      <c r="MW50" s="38"/>
      <c r="MX50" s="24"/>
      <c r="MY50" s="24"/>
      <c r="MZ50" s="24"/>
      <c r="NA50" s="24"/>
      <c r="NB50" s="24"/>
      <c r="NC50" s="24"/>
      <c r="ND50" s="24"/>
      <c r="NE50" s="24"/>
      <c r="NF50" s="38"/>
      <c r="NG50" s="24"/>
      <c r="NH50" s="24"/>
      <c r="NI50" s="24"/>
      <c r="NJ50" s="24"/>
      <c r="NK50" s="24"/>
      <c r="NL50" s="24"/>
      <c r="NM50" s="24"/>
      <c r="NN50" s="24"/>
      <c r="NO50" s="38"/>
      <c r="NP50" s="24"/>
      <c r="NQ50" s="24"/>
      <c r="NR50" s="24"/>
      <c r="NS50" s="24"/>
      <c r="NT50" s="24"/>
      <c r="NU50" s="24"/>
      <c r="NV50" s="24"/>
      <c r="NW50" s="24"/>
      <c r="NX50" s="38"/>
      <c r="NY50" s="24"/>
      <c r="NZ50" s="24"/>
      <c r="OA50" s="24"/>
      <c r="OB50" s="24"/>
      <c r="OC50" s="24"/>
      <c r="OD50" s="24"/>
      <c r="OE50" s="24"/>
      <c r="OF50" s="24"/>
      <c r="OG50" s="38"/>
      <c r="OH50" s="24"/>
      <c r="OI50" s="24"/>
      <c r="OJ50" s="24"/>
      <c r="OK50" s="24"/>
      <c r="OL50" s="24"/>
      <c r="OM50" s="24"/>
      <c r="ON50" s="24"/>
      <c r="OO50" s="24"/>
      <c r="OP50" s="38"/>
      <c r="OQ50" s="24"/>
      <c r="OR50" s="24"/>
      <c r="OS50" s="24"/>
      <c r="OT50" s="24"/>
      <c r="OU50" s="24"/>
      <c r="OV50" s="24"/>
      <c r="OW50" s="24"/>
      <c r="OX50" s="24"/>
      <c r="OY50" s="38"/>
    </row>
    <row r="51" spans="1:424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  <c r="K51" s="24"/>
      <c r="L51" s="24"/>
      <c r="M51" s="24"/>
      <c r="N51" s="24"/>
      <c r="O51" s="24"/>
      <c r="P51" s="24"/>
      <c r="Q51" s="24"/>
      <c r="R51" s="24"/>
      <c r="S51" s="38"/>
      <c r="T51" s="24"/>
      <c r="U51" s="24"/>
      <c r="V51" s="24"/>
      <c r="W51" s="24"/>
      <c r="X51" s="24"/>
      <c r="Y51" s="24"/>
      <c r="Z51" s="24"/>
      <c r="AA51" s="24"/>
      <c r="AB51" s="38"/>
      <c r="AC51" s="24"/>
      <c r="AD51" s="24"/>
      <c r="AE51" s="24"/>
      <c r="AF51" s="24"/>
      <c r="AG51" s="24"/>
      <c r="AH51" s="24"/>
      <c r="AI51" s="24"/>
      <c r="AJ51" s="24"/>
      <c r="AK51" s="38"/>
      <c r="AL51" s="24"/>
      <c r="AM51" s="24"/>
      <c r="AN51" s="24"/>
      <c r="AO51" s="24"/>
      <c r="AP51" s="24"/>
      <c r="AQ51" s="24"/>
      <c r="AR51" s="24"/>
      <c r="AS51" s="24"/>
      <c r="AT51" s="38"/>
      <c r="AU51" s="24"/>
      <c r="AV51" s="24"/>
      <c r="AW51" s="24"/>
      <c r="AX51" s="24"/>
      <c r="AY51" s="24"/>
      <c r="AZ51" s="24"/>
      <c r="BA51" s="24"/>
      <c r="BB51" s="24"/>
      <c r="BC51" s="38"/>
      <c r="BD51" s="24"/>
      <c r="BE51" s="24"/>
      <c r="BF51" s="24"/>
      <c r="BG51" s="24"/>
      <c r="BH51" s="24"/>
      <c r="BI51" s="24"/>
      <c r="BJ51" s="24"/>
      <c r="BK51" s="24"/>
      <c r="BL51" s="38"/>
      <c r="BM51" s="24"/>
      <c r="BN51" s="24"/>
      <c r="BO51" s="24"/>
      <c r="BP51" s="24"/>
      <c r="BQ51" s="24"/>
      <c r="BR51" s="24"/>
      <c r="BS51" s="24"/>
      <c r="BT51" s="24"/>
      <c r="BU51" s="38"/>
      <c r="BV51" s="24"/>
      <c r="BW51" s="24"/>
      <c r="BX51" s="24"/>
      <c r="BY51" s="24"/>
      <c r="BZ51" s="24"/>
      <c r="CA51" s="24"/>
      <c r="CB51" s="24"/>
      <c r="CC51" s="24"/>
      <c r="CD51" s="38"/>
      <c r="CE51" s="24"/>
      <c r="CF51" s="24"/>
      <c r="CG51" s="24"/>
      <c r="CH51" s="24"/>
      <c r="CI51" s="24"/>
      <c r="CJ51" s="24"/>
      <c r="CK51" s="24"/>
      <c r="CL51" s="24"/>
      <c r="CM51" s="38"/>
      <c r="CN51" s="24"/>
      <c r="CO51" s="24"/>
      <c r="CP51" s="24"/>
      <c r="CQ51" s="24"/>
      <c r="CR51" s="24"/>
      <c r="CS51" s="24"/>
      <c r="CT51" s="24"/>
      <c r="CU51" s="24"/>
      <c r="CV51" s="38"/>
      <c r="CW51" s="24"/>
      <c r="CX51" s="24"/>
      <c r="CY51" s="24"/>
      <c r="CZ51" s="24"/>
      <c r="DA51" s="24"/>
      <c r="DB51" s="24"/>
      <c r="DC51" s="24"/>
      <c r="DD51" s="24"/>
      <c r="DE51" s="38"/>
      <c r="DF51" s="24"/>
      <c r="DG51" s="24"/>
      <c r="DH51" s="24"/>
      <c r="DI51" s="24"/>
      <c r="DJ51" s="24"/>
      <c r="DK51" s="24"/>
      <c r="DL51" s="24"/>
      <c r="DM51" s="24"/>
      <c r="DN51" s="38"/>
      <c r="DO51" s="24"/>
      <c r="DP51" s="24"/>
      <c r="DQ51" s="24"/>
      <c r="DR51" s="24"/>
      <c r="DS51" s="24"/>
      <c r="DT51" s="24"/>
      <c r="DU51" s="24"/>
      <c r="DV51" s="24"/>
      <c r="DW51" s="38"/>
      <c r="DX51" s="24">
        <v>31</v>
      </c>
      <c r="DY51" s="24">
        <v>23261766</v>
      </c>
      <c r="DZ51" s="24">
        <v>12</v>
      </c>
      <c r="EA51" s="24">
        <v>9831267</v>
      </c>
      <c r="EB51" s="24">
        <v>19</v>
      </c>
      <c r="EC51" s="24">
        <v>13430499</v>
      </c>
      <c r="ED51" s="24">
        <v>12409113</v>
      </c>
      <c r="EE51" s="24">
        <v>1311951</v>
      </c>
      <c r="EF51" s="38">
        <v>0.1057</v>
      </c>
      <c r="EG51" s="24">
        <v>12</v>
      </c>
      <c r="EH51" s="24">
        <v>7008887</v>
      </c>
      <c r="EI51" s="24">
        <v>17</v>
      </c>
      <c r="EJ51" s="24">
        <v>9042310</v>
      </c>
      <c r="EK51" s="24">
        <v>14</v>
      </c>
      <c r="EL51" s="24">
        <v>11397076</v>
      </c>
      <c r="EM51" s="24">
        <v>11368574</v>
      </c>
      <c r="EN51" s="24">
        <v>1156687</v>
      </c>
      <c r="EO51" s="38">
        <v>0.1017</v>
      </c>
      <c r="EP51" s="24">
        <v>2</v>
      </c>
      <c r="EQ51" s="24">
        <v>600000</v>
      </c>
      <c r="ER51" s="24">
        <v>2</v>
      </c>
      <c r="ES51" s="24">
        <v>3246230</v>
      </c>
      <c r="ET51" s="24">
        <v>14</v>
      </c>
      <c r="EU51" s="24">
        <v>8750846</v>
      </c>
      <c r="EV51" s="24">
        <v>10034196</v>
      </c>
      <c r="EW51" s="24">
        <v>941926</v>
      </c>
      <c r="EX51" s="38">
        <v>9.3799999999999994E-2</v>
      </c>
      <c r="EY51" s="24">
        <v>3</v>
      </c>
      <c r="EZ51" s="24">
        <v>1530045</v>
      </c>
      <c r="FA51" s="24">
        <v>6</v>
      </c>
      <c r="FB51" s="24">
        <v>4204578</v>
      </c>
      <c r="FC51" s="24">
        <v>11</v>
      </c>
      <c r="FD51" s="24">
        <v>6076313</v>
      </c>
      <c r="FE51" s="24">
        <v>7634867</v>
      </c>
      <c r="FF51" s="24">
        <v>688801</v>
      </c>
      <c r="FG51" s="38">
        <v>9.0200000000000002E-2</v>
      </c>
      <c r="FH51" s="24">
        <v>2</v>
      </c>
      <c r="FI51" s="24">
        <v>1100000</v>
      </c>
      <c r="FJ51" s="24">
        <v>4</v>
      </c>
      <c r="FK51" s="24">
        <v>3196142</v>
      </c>
      <c r="FL51" s="24">
        <v>9</v>
      </c>
      <c r="FM51" s="24">
        <v>3980171</v>
      </c>
      <c r="FN51" s="24">
        <v>4511051</v>
      </c>
      <c r="FO51" s="24">
        <v>379670</v>
      </c>
      <c r="FP51" s="38">
        <v>8.4099999999999994E-2</v>
      </c>
      <c r="FQ51" s="24">
        <v>2</v>
      </c>
      <c r="FR51" s="24">
        <v>776614</v>
      </c>
      <c r="FS51" s="24">
        <v>7</v>
      </c>
      <c r="FT51" s="24">
        <v>2664556</v>
      </c>
      <c r="FU51" s="24">
        <v>4</v>
      </c>
      <c r="FV51" s="24">
        <v>2092229</v>
      </c>
      <c r="FW51" s="24">
        <v>2937317</v>
      </c>
      <c r="FX51" s="24">
        <v>193488</v>
      </c>
      <c r="FY51" s="38">
        <v>6.59E-2</v>
      </c>
      <c r="FZ51" s="24">
        <v>1</v>
      </c>
      <c r="GA51" s="24">
        <v>100000</v>
      </c>
      <c r="GB51" s="24">
        <v>2</v>
      </c>
      <c r="GC51" s="24">
        <v>1163813</v>
      </c>
      <c r="GD51" s="24">
        <v>3</v>
      </c>
      <c r="GE51" s="24">
        <v>1028416</v>
      </c>
      <c r="GF51" s="24">
        <v>1630728</v>
      </c>
      <c r="GG51" s="24">
        <v>123597</v>
      </c>
      <c r="GH51" s="38">
        <v>7.5800000000000006E-2</v>
      </c>
      <c r="GI51" s="24">
        <v>3</v>
      </c>
      <c r="GJ51" s="24">
        <v>2800000</v>
      </c>
      <c r="GK51" s="24">
        <v>2</v>
      </c>
      <c r="GL51" s="24">
        <v>1129058</v>
      </c>
      <c r="GM51" s="24">
        <v>4</v>
      </c>
      <c r="GN51" s="24">
        <v>2699358</v>
      </c>
      <c r="GO51" s="24">
        <v>1583606</v>
      </c>
      <c r="GP51" s="24">
        <v>100821</v>
      </c>
      <c r="GQ51" s="38">
        <v>6.3700000000000007E-2</v>
      </c>
      <c r="GR51" s="24">
        <v>0</v>
      </c>
      <c r="GS51" s="24"/>
      <c r="GT51" s="24">
        <v>3</v>
      </c>
      <c r="GU51" s="24">
        <v>1890786</v>
      </c>
      <c r="GV51" s="24">
        <v>1</v>
      </c>
      <c r="GW51" s="24">
        <v>808572</v>
      </c>
      <c r="GX51" s="24">
        <v>1617089</v>
      </c>
      <c r="GY51" s="24">
        <v>116276</v>
      </c>
      <c r="GZ51" s="38">
        <v>7.1900000000000006E-2</v>
      </c>
      <c r="HA51" s="24">
        <v>0</v>
      </c>
      <c r="HB51" s="24">
        <v>0</v>
      </c>
      <c r="HC51" s="24">
        <v>0</v>
      </c>
      <c r="HD51" s="24">
        <v>190374</v>
      </c>
      <c r="HE51" s="24">
        <v>1</v>
      </c>
      <c r="HF51" s="24">
        <v>618198</v>
      </c>
      <c r="HG51" s="24">
        <v>706989</v>
      </c>
      <c r="HH51" s="24">
        <v>36688</v>
      </c>
      <c r="HI51" s="38">
        <v>5.1900000000000002E-2</v>
      </c>
      <c r="HJ51" s="24">
        <v>0</v>
      </c>
      <c r="HK51" s="24">
        <v>0</v>
      </c>
      <c r="HL51" s="24">
        <v>0</v>
      </c>
      <c r="HM51" s="24">
        <v>200083</v>
      </c>
      <c r="HN51" s="24">
        <v>1</v>
      </c>
      <c r="HO51" s="24">
        <v>418115</v>
      </c>
      <c r="HP51" s="24">
        <v>511438</v>
      </c>
      <c r="HQ51" s="24">
        <v>26979</v>
      </c>
      <c r="HR51" s="38">
        <v>5.28E-2</v>
      </c>
      <c r="HS51" s="24">
        <v>0</v>
      </c>
      <c r="HT51" s="24">
        <v>0</v>
      </c>
      <c r="HU51" s="24">
        <v>0</v>
      </c>
      <c r="HV51" s="24">
        <v>210287</v>
      </c>
      <c r="HW51" s="24">
        <v>1</v>
      </c>
      <c r="HX51" s="24">
        <v>207828</v>
      </c>
      <c r="HY51" s="24">
        <v>305913</v>
      </c>
      <c r="HZ51" s="24">
        <v>16775</v>
      </c>
      <c r="IA51" s="38">
        <v>5.4800000000000001E-2</v>
      </c>
      <c r="IB51" s="24">
        <v>0</v>
      </c>
      <c r="IC51" s="24">
        <v>0</v>
      </c>
      <c r="ID51" s="24">
        <v>1</v>
      </c>
      <c r="IE51" s="24">
        <v>207828</v>
      </c>
      <c r="IF51" s="24">
        <v>0</v>
      </c>
      <c r="IG51" s="24">
        <v>0</v>
      </c>
      <c r="IH51" s="24">
        <v>90454</v>
      </c>
      <c r="II51" s="24">
        <v>6050</v>
      </c>
      <c r="IJ51" s="38">
        <v>6.6900000000000001E-2</v>
      </c>
      <c r="IK51" s="24"/>
      <c r="IL51" s="24"/>
      <c r="IM51" s="24"/>
      <c r="IN51" s="24"/>
      <c r="IO51" s="24"/>
      <c r="IP51" s="24"/>
      <c r="IQ51" s="24"/>
      <c r="IR51" s="24"/>
      <c r="IS51" s="38"/>
      <c r="IT51" s="24"/>
      <c r="IU51" s="24"/>
      <c r="IV51" s="24"/>
      <c r="IW51" s="24"/>
      <c r="IX51" s="24"/>
      <c r="IY51" s="24"/>
      <c r="IZ51" s="24"/>
      <c r="JA51" s="24"/>
      <c r="JB51" s="38"/>
      <c r="JC51" s="24"/>
      <c r="JD51" s="24"/>
      <c r="JE51" s="24"/>
      <c r="JF51" s="24"/>
      <c r="JG51" s="24"/>
      <c r="JH51" s="24"/>
      <c r="JI51" s="24"/>
      <c r="JJ51" s="24"/>
      <c r="JK51" s="38"/>
      <c r="JL51" s="24"/>
      <c r="JM51" s="24"/>
      <c r="JN51" s="24"/>
      <c r="JO51" s="24"/>
      <c r="JP51" s="24"/>
      <c r="JQ51" s="24"/>
      <c r="JR51" s="24"/>
      <c r="JS51" s="24"/>
      <c r="JT51" s="38"/>
      <c r="JU51" s="24"/>
      <c r="JV51" s="24"/>
      <c r="JW51" s="24"/>
      <c r="JX51" s="24"/>
      <c r="JY51" s="24"/>
      <c r="JZ51" s="24"/>
      <c r="KA51" s="24"/>
      <c r="KB51" s="24"/>
      <c r="KC51" s="38"/>
      <c r="KD51" s="24"/>
      <c r="KE51" s="24"/>
      <c r="KF51" s="24"/>
      <c r="KG51" s="24"/>
      <c r="KH51" s="24"/>
      <c r="KI51" s="24"/>
      <c r="KJ51" s="24"/>
      <c r="KK51" s="24"/>
      <c r="KL51" s="38"/>
      <c r="KM51" s="24"/>
      <c r="KN51" s="24"/>
      <c r="KO51" s="24"/>
      <c r="KP51" s="24"/>
      <c r="KQ51" s="24"/>
      <c r="KR51" s="24"/>
      <c r="KS51" s="24"/>
      <c r="KT51" s="24"/>
      <c r="KU51" s="38"/>
      <c r="KV51" s="24"/>
      <c r="KW51" s="24"/>
      <c r="KX51" s="24"/>
      <c r="KY51" s="24"/>
      <c r="KZ51" s="24"/>
      <c r="LA51" s="24"/>
      <c r="LB51" s="24"/>
      <c r="LC51" s="24"/>
      <c r="LD51" s="38"/>
      <c r="LE51" s="24"/>
      <c r="LF51" s="24"/>
      <c r="LG51" s="24"/>
      <c r="LH51" s="24"/>
      <c r="LI51" s="24"/>
      <c r="LJ51" s="24"/>
      <c r="LK51" s="24"/>
      <c r="LL51" s="24"/>
      <c r="LM51" s="38"/>
      <c r="LN51" s="24"/>
      <c r="LO51" s="24"/>
      <c r="LP51" s="24"/>
      <c r="LQ51" s="24"/>
      <c r="LR51" s="24"/>
      <c r="LS51" s="24"/>
      <c r="LT51" s="24"/>
      <c r="LU51" s="24"/>
      <c r="LV51" s="38"/>
      <c r="LW51" s="24"/>
      <c r="LX51" s="24"/>
      <c r="LY51" s="24"/>
      <c r="LZ51" s="24"/>
      <c r="MA51" s="24"/>
      <c r="MB51" s="24"/>
      <c r="MC51" s="24"/>
      <c r="MD51" s="24"/>
      <c r="ME51" s="38"/>
      <c r="MF51" s="24"/>
      <c r="MG51" s="24"/>
      <c r="MH51" s="24"/>
      <c r="MI51" s="24"/>
      <c r="MJ51" s="24"/>
      <c r="MK51" s="24"/>
      <c r="ML51" s="24"/>
      <c r="MM51" s="24"/>
      <c r="MN51" s="38"/>
      <c r="MO51" s="24"/>
      <c r="MP51" s="24"/>
      <c r="MQ51" s="24"/>
      <c r="MR51" s="24"/>
      <c r="MS51" s="24"/>
      <c r="MT51" s="24"/>
      <c r="MU51" s="24"/>
      <c r="MV51" s="24"/>
      <c r="MW51" s="38"/>
      <c r="MX51" s="24"/>
      <c r="MY51" s="24"/>
      <c r="MZ51" s="24"/>
      <c r="NA51" s="24"/>
      <c r="NB51" s="24"/>
      <c r="NC51" s="24"/>
      <c r="ND51" s="24"/>
      <c r="NE51" s="24"/>
      <c r="NF51" s="38"/>
      <c r="NG51" s="24"/>
      <c r="NH51" s="24"/>
      <c r="NI51" s="24"/>
      <c r="NJ51" s="24"/>
      <c r="NK51" s="24"/>
      <c r="NL51" s="24"/>
      <c r="NM51" s="24"/>
      <c r="NN51" s="24"/>
      <c r="NO51" s="38"/>
      <c r="NP51" s="24"/>
      <c r="NQ51" s="24"/>
      <c r="NR51" s="24"/>
      <c r="NS51" s="24"/>
      <c r="NT51" s="24"/>
      <c r="NU51" s="24"/>
      <c r="NV51" s="24"/>
      <c r="NW51" s="24"/>
      <c r="NX51" s="38"/>
      <c r="NY51" s="24"/>
      <c r="NZ51" s="24"/>
      <c r="OA51" s="24"/>
      <c r="OB51" s="24"/>
      <c r="OC51" s="24"/>
      <c r="OD51" s="24"/>
      <c r="OE51" s="24"/>
      <c r="OF51" s="24"/>
      <c r="OG51" s="38"/>
      <c r="OH51" s="24"/>
      <c r="OI51" s="24"/>
      <c r="OJ51" s="24"/>
      <c r="OK51" s="24"/>
      <c r="OL51" s="24"/>
      <c r="OM51" s="24"/>
      <c r="ON51" s="24"/>
      <c r="OO51" s="24"/>
      <c r="OP51" s="38"/>
      <c r="OQ51" s="24"/>
      <c r="OR51" s="24"/>
      <c r="OS51" s="24"/>
      <c r="OT51" s="24"/>
      <c r="OU51" s="24"/>
      <c r="OV51" s="24"/>
      <c r="OW51" s="24"/>
      <c r="OX51" s="24"/>
      <c r="OY51" s="38"/>
    </row>
    <row r="52" spans="1:424" s="26" customFormat="1" x14ac:dyDescent="0.2">
      <c r="A52" s="36" t="s">
        <v>73</v>
      </c>
      <c r="B52" s="25">
        <f t="shared" ref="B52:I52" si="756">SUM(B48:B49)</f>
        <v>0</v>
      </c>
      <c r="C52" s="25">
        <f t="shared" si="756"/>
        <v>0</v>
      </c>
      <c r="D52" s="25">
        <f t="shared" si="756"/>
        <v>0</v>
      </c>
      <c r="E52" s="25">
        <f t="shared" si="756"/>
        <v>0</v>
      </c>
      <c r="F52" s="25">
        <f t="shared" si="756"/>
        <v>0</v>
      </c>
      <c r="G52" s="25">
        <f t="shared" si="756"/>
        <v>0</v>
      </c>
      <c r="H52" s="25">
        <f t="shared" si="756"/>
        <v>0</v>
      </c>
      <c r="I52" s="25">
        <f t="shared" si="756"/>
        <v>0</v>
      </c>
      <c r="J52" s="39" t="str">
        <f>IF(SUM(J48:J49)=0,"",SUM(J48:J49)/COUNT(J48:J49))</f>
        <v/>
      </c>
      <c r="K52" s="25">
        <f t="shared" ref="K52:R52" si="757">SUM(K48:K49)</f>
        <v>0</v>
      </c>
      <c r="L52" s="25">
        <f t="shared" si="757"/>
        <v>0</v>
      </c>
      <c r="M52" s="25">
        <f t="shared" si="757"/>
        <v>0</v>
      </c>
      <c r="N52" s="25">
        <f t="shared" si="757"/>
        <v>0</v>
      </c>
      <c r="O52" s="25">
        <f t="shared" si="757"/>
        <v>0</v>
      </c>
      <c r="P52" s="25">
        <f t="shared" si="757"/>
        <v>0</v>
      </c>
      <c r="Q52" s="25">
        <f t="shared" si="757"/>
        <v>0</v>
      </c>
      <c r="R52" s="25">
        <f t="shared" si="757"/>
        <v>0</v>
      </c>
      <c r="S52" s="39" t="str">
        <f>IF(SUM(S48:S49)=0,"",SUM(S48:S49)/COUNT(S48:S49))</f>
        <v/>
      </c>
      <c r="T52" s="25">
        <f t="shared" ref="T52:AA52" si="758">SUM(T48:T49)</f>
        <v>0</v>
      </c>
      <c r="U52" s="25">
        <f t="shared" si="758"/>
        <v>0</v>
      </c>
      <c r="V52" s="25">
        <f t="shared" si="758"/>
        <v>0</v>
      </c>
      <c r="W52" s="25">
        <f t="shared" si="758"/>
        <v>0</v>
      </c>
      <c r="X52" s="25">
        <f t="shared" si="758"/>
        <v>0</v>
      </c>
      <c r="Y52" s="25">
        <f t="shared" si="758"/>
        <v>0</v>
      </c>
      <c r="Z52" s="25">
        <f t="shared" si="758"/>
        <v>0</v>
      </c>
      <c r="AA52" s="25">
        <f t="shared" si="758"/>
        <v>0</v>
      </c>
      <c r="AB52" s="39" t="str">
        <f>IF(SUM(AB48:AB49)=0,"",SUM(AB48:AB49)/COUNT(AB48:AB49))</f>
        <v/>
      </c>
      <c r="AC52" s="25">
        <f t="shared" ref="AC52:AJ52" si="759">SUM(AC48:AC49)</f>
        <v>0</v>
      </c>
      <c r="AD52" s="25">
        <f t="shared" si="759"/>
        <v>0</v>
      </c>
      <c r="AE52" s="25">
        <f t="shared" si="759"/>
        <v>0</v>
      </c>
      <c r="AF52" s="25">
        <f t="shared" si="759"/>
        <v>0</v>
      </c>
      <c r="AG52" s="25">
        <f t="shared" si="759"/>
        <v>0</v>
      </c>
      <c r="AH52" s="25">
        <f t="shared" si="759"/>
        <v>0</v>
      </c>
      <c r="AI52" s="25">
        <f t="shared" si="759"/>
        <v>0</v>
      </c>
      <c r="AJ52" s="25">
        <f t="shared" si="759"/>
        <v>0</v>
      </c>
      <c r="AK52" s="39" t="str">
        <f>IF(SUM(AK48:AK49)=0,"",SUM(AK48:AK49)/COUNT(AK48:AK49))</f>
        <v/>
      </c>
      <c r="AL52" s="25">
        <f t="shared" ref="AL52:AS52" si="760">SUM(AL48:AL49)</f>
        <v>0</v>
      </c>
      <c r="AM52" s="25">
        <f t="shared" si="760"/>
        <v>0</v>
      </c>
      <c r="AN52" s="25">
        <f t="shared" si="760"/>
        <v>0</v>
      </c>
      <c r="AO52" s="25">
        <f t="shared" si="760"/>
        <v>0</v>
      </c>
      <c r="AP52" s="25">
        <f t="shared" si="760"/>
        <v>0</v>
      </c>
      <c r="AQ52" s="25">
        <f t="shared" si="760"/>
        <v>0</v>
      </c>
      <c r="AR52" s="25">
        <f t="shared" si="760"/>
        <v>0</v>
      </c>
      <c r="AS52" s="25">
        <f t="shared" si="760"/>
        <v>0</v>
      </c>
      <c r="AT52" s="39" t="str">
        <f>IF(SUM(AT48:AT49)=0,"",SUM(AT48:AT49)/COUNT(AT48:AT49))</f>
        <v/>
      </c>
      <c r="AU52" s="25">
        <f t="shared" ref="AU52:BB52" si="761">SUM(AU48:AU49)</f>
        <v>0</v>
      </c>
      <c r="AV52" s="25">
        <f t="shared" si="761"/>
        <v>0</v>
      </c>
      <c r="AW52" s="25">
        <f t="shared" si="761"/>
        <v>0</v>
      </c>
      <c r="AX52" s="25">
        <f t="shared" si="761"/>
        <v>0</v>
      </c>
      <c r="AY52" s="25">
        <f t="shared" si="761"/>
        <v>0</v>
      </c>
      <c r="AZ52" s="25">
        <f t="shared" si="761"/>
        <v>0</v>
      </c>
      <c r="BA52" s="25">
        <f t="shared" si="761"/>
        <v>0</v>
      </c>
      <c r="BB52" s="25">
        <f t="shared" si="761"/>
        <v>0</v>
      </c>
      <c r="BC52" s="39" t="str">
        <f>IF(SUM(BC48:BC49)=0,"",SUM(BC48:BC49)/COUNT(BC48:BC49))</f>
        <v/>
      </c>
      <c r="BD52" s="25">
        <f t="shared" ref="BD52:BK52" si="762">SUM(BD48:BD49)</f>
        <v>0</v>
      </c>
      <c r="BE52" s="25">
        <f t="shared" si="762"/>
        <v>0</v>
      </c>
      <c r="BF52" s="25">
        <f t="shared" si="762"/>
        <v>0</v>
      </c>
      <c r="BG52" s="25">
        <f t="shared" si="762"/>
        <v>0</v>
      </c>
      <c r="BH52" s="25">
        <f t="shared" si="762"/>
        <v>0</v>
      </c>
      <c r="BI52" s="25">
        <f t="shared" si="762"/>
        <v>0</v>
      </c>
      <c r="BJ52" s="25">
        <f t="shared" si="762"/>
        <v>0</v>
      </c>
      <c r="BK52" s="25">
        <f t="shared" si="762"/>
        <v>0</v>
      </c>
      <c r="BL52" s="39" t="str">
        <f>IF(SUM(BL48:BL49)=0,"",SUM(BL48:BL49)/COUNT(BL48:BL49))</f>
        <v/>
      </c>
      <c r="BM52" s="25">
        <f t="shared" ref="BM52:BT52" si="763">SUM(BM48:BM49)</f>
        <v>0</v>
      </c>
      <c r="BN52" s="25">
        <f t="shared" si="763"/>
        <v>0</v>
      </c>
      <c r="BO52" s="25">
        <f t="shared" si="763"/>
        <v>0</v>
      </c>
      <c r="BP52" s="25">
        <f t="shared" si="763"/>
        <v>0</v>
      </c>
      <c r="BQ52" s="25">
        <f t="shared" si="763"/>
        <v>0</v>
      </c>
      <c r="BR52" s="25">
        <f t="shared" si="763"/>
        <v>0</v>
      </c>
      <c r="BS52" s="25">
        <f t="shared" si="763"/>
        <v>0</v>
      </c>
      <c r="BT52" s="25">
        <f t="shared" si="763"/>
        <v>0</v>
      </c>
      <c r="BU52" s="39" t="str">
        <f>IF(SUM(BU48:BU49)=0,"",SUM(BU48:BU49)/COUNT(BU48:BU49))</f>
        <v/>
      </c>
      <c r="BV52" s="25">
        <f t="shared" ref="BV52:CC52" si="764">SUM(BV48:BV49)</f>
        <v>0</v>
      </c>
      <c r="BW52" s="25">
        <f t="shared" si="764"/>
        <v>0</v>
      </c>
      <c r="BX52" s="25">
        <f t="shared" si="764"/>
        <v>0</v>
      </c>
      <c r="BY52" s="25">
        <f t="shared" si="764"/>
        <v>0</v>
      </c>
      <c r="BZ52" s="25">
        <f t="shared" si="764"/>
        <v>0</v>
      </c>
      <c r="CA52" s="25">
        <f t="shared" si="764"/>
        <v>0</v>
      </c>
      <c r="CB52" s="25">
        <f t="shared" si="764"/>
        <v>0</v>
      </c>
      <c r="CC52" s="25">
        <f t="shared" si="764"/>
        <v>0</v>
      </c>
      <c r="CD52" s="39" t="str">
        <f>IF(SUM(CD48:CD49)=0,"",SUM(CD48:CD49)/COUNT(CD48:CD49))</f>
        <v/>
      </c>
      <c r="CE52" s="25">
        <f t="shared" ref="CE52:CL52" si="765">SUM(CE48:CE50)</f>
        <v>0</v>
      </c>
      <c r="CF52" s="25">
        <f t="shared" si="765"/>
        <v>0</v>
      </c>
      <c r="CG52" s="25">
        <f t="shared" si="765"/>
        <v>0</v>
      </c>
      <c r="CH52" s="25">
        <f t="shared" si="765"/>
        <v>0</v>
      </c>
      <c r="CI52" s="25">
        <f t="shared" si="765"/>
        <v>0</v>
      </c>
      <c r="CJ52" s="25">
        <f t="shared" si="765"/>
        <v>28023000</v>
      </c>
      <c r="CK52" s="25">
        <f t="shared" si="765"/>
        <v>0</v>
      </c>
      <c r="CL52" s="25">
        <f t="shared" si="765"/>
        <v>0</v>
      </c>
      <c r="CM52" s="39" t="str">
        <f>IF(SUM(CM48:CM50)=0,"",SUM(CM48:CM50)/COUNT(CM48:CM50))</f>
        <v/>
      </c>
      <c r="CN52" s="25">
        <f t="shared" ref="CN52:CU52" si="766">SUM(CN48:CN50)</f>
        <v>0</v>
      </c>
      <c r="CO52" s="25">
        <f t="shared" si="766"/>
        <v>0</v>
      </c>
      <c r="CP52" s="25">
        <f t="shared" si="766"/>
        <v>0</v>
      </c>
      <c r="CQ52" s="25">
        <f t="shared" si="766"/>
        <v>0</v>
      </c>
      <c r="CR52" s="25">
        <f t="shared" si="766"/>
        <v>0</v>
      </c>
      <c r="CS52" s="25">
        <f t="shared" si="766"/>
        <v>26219000</v>
      </c>
      <c r="CT52" s="25">
        <f t="shared" si="766"/>
        <v>0</v>
      </c>
      <c r="CU52" s="25">
        <f t="shared" si="766"/>
        <v>0</v>
      </c>
      <c r="CV52" s="39" t="str">
        <f>IF(SUM(CV48:CV50)=0,"",SUM(CV48:CV50)/COUNT(CV48:CV50))</f>
        <v/>
      </c>
      <c r="CW52" s="25">
        <f t="shared" ref="CW52:DD52" si="767">SUM(CW48:CW50)</f>
        <v>0</v>
      </c>
      <c r="CX52" s="25">
        <f t="shared" si="767"/>
        <v>0</v>
      </c>
      <c r="CY52" s="25">
        <f t="shared" si="767"/>
        <v>0</v>
      </c>
      <c r="CZ52" s="25">
        <f t="shared" si="767"/>
        <v>0</v>
      </c>
      <c r="DA52" s="25">
        <f t="shared" si="767"/>
        <v>0</v>
      </c>
      <c r="DB52" s="25">
        <f t="shared" si="767"/>
        <v>35865000</v>
      </c>
      <c r="DC52" s="25">
        <f t="shared" si="767"/>
        <v>0</v>
      </c>
      <c r="DD52" s="25">
        <f t="shared" si="767"/>
        <v>0</v>
      </c>
      <c r="DE52" s="39" t="str">
        <f>IF(SUM(DE48:DE50)=0,"",SUM(DE48:DE50)/COUNT(DE48:DE50))</f>
        <v/>
      </c>
      <c r="DF52" s="25">
        <f t="shared" ref="DF52:DM52" si="768">SUM(DF48:DF50)</f>
        <v>3005</v>
      </c>
      <c r="DG52" s="25">
        <f t="shared" si="768"/>
        <v>73575000</v>
      </c>
      <c r="DH52" s="25">
        <f t="shared" si="768"/>
        <v>0</v>
      </c>
      <c r="DI52" s="25">
        <f t="shared" si="768"/>
        <v>74123000</v>
      </c>
      <c r="DJ52" s="25">
        <f t="shared" si="768"/>
        <v>3000</v>
      </c>
      <c r="DK52" s="25">
        <f t="shared" si="768"/>
        <v>36317000</v>
      </c>
      <c r="DL52" s="25">
        <f t="shared" si="768"/>
        <v>36591000</v>
      </c>
      <c r="DM52" s="25">
        <f t="shared" si="768"/>
        <v>3472000</v>
      </c>
      <c r="DN52" s="39">
        <f>IF(SUM(DN48:DN50)=0,"",SUM(DN48:DN50)/COUNT(DN48:DN50))</f>
        <v>9.4799999999999995E-2</v>
      </c>
      <c r="DO52" s="25">
        <f t="shared" ref="DO52:DV52" si="769">SUM(DO48:DO50)</f>
        <v>2929</v>
      </c>
      <c r="DP52" s="25">
        <f t="shared" si="769"/>
        <v>66732840</v>
      </c>
      <c r="DQ52" s="25">
        <f t="shared" si="769"/>
        <v>2909</v>
      </c>
      <c r="DR52" s="25">
        <f t="shared" si="769"/>
        <v>70754250</v>
      </c>
      <c r="DS52" s="25">
        <f t="shared" si="769"/>
        <v>2854</v>
      </c>
      <c r="DT52" s="25">
        <f t="shared" si="769"/>
        <v>32295420</v>
      </c>
      <c r="DU52" s="25">
        <f t="shared" si="769"/>
        <v>31623670</v>
      </c>
      <c r="DV52" s="25">
        <f t="shared" si="769"/>
        <v>3210340</v>
      </c>
      <c r="DW52" s="39">
        <f>IF(SUM(DW48:DW50)=0,"",SUM(DW48:DW50)/COUNT(DW48:DW50))</f>
        <v>0.10150000000000001</v>
      </c>
      <c r="DX52" s="25">
        <f t="shared" ref="DX52:EE52" si="770">SUM(DX48:DX51)</f>
        <v>3421</v>
      </c>
      <c r="DY52" s="25">
        <f t="shared" si="770"/>
        <v>433391395</v>
      </c>
      <c r="DZ52" s="25">
        <f t="shared" si="770"/>
        <v>3184</v>
      </c>
      <c r="EA52" s="25">
        <f t="shared" si="770"/>
        <v>109478064</v>
      </c>
      <c r="EB52" s="25">
        <f t="shared" si="770"/>
        <v>3309</v>
      </c>
      <c r="EC52" s="25">
        <f t="shared" si="770"/>
        <v>356208751</v>
      </c>
      <c r="ED52" s="25">
        <f t="shared" si="770"/>
        <v>350238338</v>
      </c>
      <c r="EE52" s="25">
        <f t="shared" si="770"/>
        <v>16222018</v>
      </c>
      <c r="EF52" s="39">
        <f>IF(SUM(EF48:EF51)=0,"",SUM(EF48:EF51)/COUNT(EF48:EF51))</f>
        <v>0.10413333333333334</v>
      </c>
      <c r="EG52" s="25">
        <f t="shared" ref="EG52:EN52" si="771">SUM(EG48:EG51)</f>
        <v>2776</v>
      </c>
      <c r="EH52" s="25">
        <f t="shared" si="771"/>
        <v>189971967</v>
      </c>
      <c r="EI52" s="25">
        <f t="shared" si="771"/>
        <v>3211</v>
      </c>
      <c r="EJ52" s="25">
        <f t="shared" si="771"/>
        <v>198301978</v>
      </c>
      <c r="EK52" s="25">
        <f t="shared" si="771"/>
        <v>2874</v>
      </c>
      <c r="EL52" s="25">
        <f t="shared" si="771"/>
        <v>347878740</v>
      </c>
      <c r="EM52" s="25">
        <f t="shared" si="771"/>
        <v>324990807</v>
      </c>
      <c r="EN52" s="25">
        <f t="shared" si="771"/>
        <v>30961681</v>
      </c>
      <c r="EO52" s="39">
        <f>IF(SUM(EO48:EO51)=0,"",SUM(EO48:EO51)/COUNT(EO48:EO51))</f>
        <v>0.13576666666666667</v>
      </c>
      <c r="EP52" s="25">
        <f t="shared" ref="EP52:EW52" si="772">SUM(EP48:EP51)</f>
        <v>2542</v>
      </c>
      <c r="EQ52" s="25">
        <f t="shared" si="772"/>
        <v>183130040</v>
      </c>
      <c r="ER52" s="25">
        <f t="shared" si="772"/>
        <v>2562</v>
      </c>
      <c r="ES52" s="25">
        <f t="shared" si="772"/>
        <v>174808364</v>
      </c>
      <c r="ET52" s="25">
        <f t="shared" si="772"/>
        <v>2854</v>
      </c>
      <c r="EU52" s="25">
        <f t="shared" si="772"/>
        <v>356200416</v>
      </c>
      <c r="EV52" s="25">
        <f t="shared" si="772"/>
        <v>348812928</v>
      </c>
      <c r="EW52" s="25">
        <f t="shared" si="772"/>
        <v>29766650</v>
      </c>
      <c r="EX52" s="39">
        <f>IF(SUM(EX48:EX51)=0,"",SUM(EX48:EX51)/COUNT(EX48:EX51))</f>
        <v>0.12770000000000001</v>
      </c>
      <c r="EY52" s="25">
        <f t="shared" ref="EY52:FF52" si="773">SUM(EY48:EY51)</f>
        <v>2422</v>
      </c>
      <c r="EZ52" s="25">
        <f t="shared" si="773"/>
        <v>186710193</v>
      </c>
      <c r="FA52" s="25">
        <f t="shared" si="773"/>
        <v>2731</v>
      </c>
      <c r="FB52" s="25">
        <f t="shared" si="773"/>
        <v>196380372</v>
      </c>
      <c r="FC52" s="25">
        <f t="shared" si="773"/>
        <v>2545</v>
      </c>
      <c r="FD52" s="25">
        <f t="shared" si="773"/>
        <v>346530237</v>
      </c>
      <c r="FE52" s="25">
        <f t="shared" si="773"/>
        <v>343310010</v>
      </c>
      <c r="FF52" s="25">
        <f t="shared" si="773"/>
        <v>31403075</v>
      </c>
      <c r="FG52" s="39">
        <f>IF(SUM(FG48:FG51)=0,"",SUM(FG48:FG51)/COUNT(FG48:FG51))</f>
        <v>0.12913333333333335</v>
      </c>
      <c r="FH52" s="25">
        <f t="shared" ref="FH52:FO52" si="774">SUM(FH48:FH51)</f>
        <v>2574</v>
      </c>
      <c r="FI52" s="25">
        <f t="shared" si="774"/>
        <v>182781420</v>
      </c>
      <c r="FJ52" s="25">
        <f t="shared" si="774"/>
        <v>2285</v>
      </c>
      <c r="FK52" s="25">
        <f t="shared" si="774"/>
        <v>170425791</v>
      </c>
      <c r="FL52" s="25">
        <f t="shared" si="774"/>
        <v>2834</v>
      </c>
      <c r="FM52" s="25">
        <f t="shared" si="774"/>
        <v>358999968</v>
      </c>
      <c r="FN52" s="25">
        <f t="shared" si="774"/>
        <v>352657725</v>
      </c>
      <c r="FO52" s="25">
        <f t="shared" si="774"/>
        <v>34072049</v>
      </c>
      <c r="FP52" s="39">
        <f>IF(SUM(FP48:FP51)=0,"",SUM(FP48:FP51)/COUNT(FP48:FP51))</f>
        <v>0.13246666666666668</v>
      </c>
      <c r="FQ52" s="25">
        <f t="shared" ref="FQ52:FX52" si="775">SUM(FQ48:FQ51)</f>
        <v>2562</v>
      </c>
      <c r="FR52" s="25">
        <f t="shared" si="775"/>
        <v>161416444</v>
      </c>
      <c r="FS52" s="25">
        <f t="shared" si="775"/>
        <v>2876</v>
      </c>
      <c r="FT52" s="25">
        <f t="shared" si="775"/>
        <v>198232858</v>
      </c>
      <c r="FU52" s="25">
        <f t="shared" si="775"/>
        <v>2520</v>
      </c>
      <c r="FV52" s="25">
        <f t="shared" si="775"/>
        <v>322183554</v>
      </c>
      <c r="FW52" s="25">
        <f t="shared" si="775"/>
        <v>337874054</v>
      </c>
      <c r="FX52" s="25">
        <f t="shared" si="775"/>
        <v>32419312</v>
      </c>
      <c r="FY52" s="39">
        <f>IF(SUM(FY48:FY51)=0,"",SUM(FY48:FY51)/COUNT(FY48:FY51))</f>
        <v>0.12286666666666667</v>
      </c>
      <c r="FZ52" s="25">
        <f t="shared" ref="FZ52:GG52" si="776">SUM(FZ48:FZ51)</f>
        <v>2565</v>
      </c>
      <c r="GA52" s="25">
        <f t="shared" si="776"/>
        <v>167234420</v>
      </c>
      <c r="GB52" s="25">
        <f t="shared" si="776"/>
        <v>2413</v>
      </c>
      <c r="GC52" s="25">
        <f t="shared" si="776"/>
        <v>171483532</v>
      </c>
      <c r="GD52" s="25">
        <f t="shared" si="776"/>
        <v>2672</v>
      </c>
      <c r="GE52" s="25">
        <f t="shared" si="776"/>
        <v>317934442</v>
      </c>
      <c r="GF52" s="25">
        <f t="shared" si="776"/>
        <v>313486092</v>
      </c>
      <c r="GG52" s="25">
        <f t="shared" si="776"/>
        <v>27540440</v>
      </c>
      <c r="GH52" s="39">
        <f>IF(SUM(GH48:GH51)=0,"",SUM(GH48:GH51)/COUNT(GH48:GH51))</f>
        <v>0.10543333333333334</v>
      </c>
      <c r="GI52" s="25">
        <f t="shared" ref="GI52:GP52" si="777">SUM(GI48:GI51)</f>
        <v>2616</v>
      </c>
      <c r="GJ52" s="25">
        <f t="shared" si="777"/>
        <v>151374990</v>
      </c>
      <c r="GK52" s="25">
        <f t="shared" si="777"/>
        <v>2657</v>
      </c>
      <c r="GL52" s="25">
        <f t="shared" si="777"/>
        <v>186019104</v>
      </c>
      <c r="GM52" s="25">
        <f t="shared" si="777"/>
        <v>2631</v>
      </c>
      <c r="GN52" s="25">
        <f t="shared" si="777"/>
        <v>283290328</v>
      </c>
      <c r="GO52" s="25">
        <f t="shared" si="777"/>
        <v>303772101</v>
      </c>
      <c r="GP52" s="25">
        <f t="shared" si="777"/>
        <v>24384565</v>
      </c>
      <c r="GQ52" s="39">
        <f>IF(SUM(GQ48:GQ51)=0,"",SUM(GQ48:GQ51)/COUNT(GQ48:GQ51))</f>
        <v>8.2400000000000001E-2</v>
      </c>
      <c r="GR52" s="25">
        <f t="shared" ref="GR52:GY52" si="778">SUM(GR48:GR51)</f>
        <v>2018</v>
      </c>
      <c r="GS52" s="25">
        <f t="shared" si="778"/>
        <v>117577530</v>
      </c>
      <c r="GT52" s="25">
        <f t="shared" si="778"/>
        <v>2585</v>
      </c>
      <c r="GU52" s="25">
        <f t="shared" si="778"/>
        <v>170680235</v>
      </c>
      <c r="GV52" s="25">
        <f t="shared" si="778"/>
        <v>2064</v>
      </c>
      <c r="GW52" s="25">
        <f t="shared" si="778"/>
        <v>230187623</v>
      </c>
      <c r="GX52" s="25">
        <f t="shared" si="778"/>
        <v>257180289</v>
      </c>
      <c r="GY52" s="25">
        <f t="shared" si="778"/>
        <v>18952413</v>
      </c>
      <c r="GZ52" s="39">
        <f>IF(SUM(GZ48:GZ51)=0,"",SUM(GZ48:GZ51)/COUNT(GZ48:GZ51))</f>
        <v>7.5166666666666673E-2</v>
      </c>
      <c r="HA52" s="25">
        <f t="shared" ref="HA52:HH52" si="779">SUM(HA48:HA51)</f>
        <v>38</v>
      </c>
      <c r="HB52" s="25">
        <f t="shared" si="779"/>
        <v>72064480</v>
      </c>
      <c r="HC52" s="25">
        <f t="shared" si="779"/>
        <v>1969</v>
      </c>
      <c r="HD52" s="25">
        <f t="shared" si="779"/>
        <v>97676025</v>
      </c>
      <c r="HE52" s="25">
        <f t="shared" si="779"/>
        <v>133</v>
      </c>
      <c r="HF52" s="25">
        <f t="shared" si="779"/>
        <v>204576078</v>
      </c>
      <c r="HG52" s="25">
        <f t="shared" si="779"/>
        <v>208477341</v>
      </c>
      <c r="HH52" s="25">
        <f t="shared" si="779"/>
        <v>14110285</v>
      </c>
      <c r="HI52" s="39">
        <f>IF(SUM(HI48:HI51)=0,"",SUM(HI48:HI51)/COUNT(HI48:HI51))</f>
        <v>4.1666666666666664E-2</v>
      </c>
      <c r="HJ52" s="25">
        <f t="shared" ref="HJ52:HQ52" si="780">SUM(HJ48:HJ51)</f>
        <v>21</v>
      </c>
      <c r="HK52" s="25">
        <f t="shared" si="780"/>
        <v>33758100</v>
      </c>
      <c r="HL52" s="25">
        <f t="shared" si="780"/>
        <v>43</v>
      </c>
      <c r="HM52" s="25">
        <f t="shared" si="780"/>
        <v>68212935</v>
      </c>
      <c r="HN52" s="25">
        <f t="shared" si="780"/>
        <v>111</v>
      </c>
      <c r="HO52" s="25">
        <f t="shared" si="780"/>
        <v>170121243</v>
      </c>
      <c r="HP52" s="25">
        <f t="shared" si="780"/>
        <v>186625353</v>
      </c>
      <c r="HQ52" s="25">
        <f t="shared" si="780"/>
        <v>13234755</v>
      </c>
      <c r="HR52" s="39">
        <f>IF(SUM(HR48:HR51)=0,"",SUM(HR48:HR51)/COUNT(HR48:HR51))</f>
        <v>7.5233333333333333E-2</v>
      </c>
      <c r="HS52" s="25">
        <f t="shared" ref="HS52:HZ52" si="781">SUM(HS48:HS51)</f>
        <v>10</v>
      </c>
      <c r="HT52" s="25">
        <f t="shared" si="781"/>
        <v>16197077</v>
      </c>
      <c r="HU52" s="25">
        <f t="shared" si="781"/>
        <v>31</v>
      </c>
      <c r="HV52" s="25">
        <f t="shared" si="781"/>
        <v>47908758</v>
      </c>
      <c r="HW52" s="25">
        <f t="shared" si="781"/>
        <v>90</v>
      </c>
      <c r="HX52" s="25">
        <f t="shared" si="781"/>
        <v>138409562</v>
      </c>
      <c r="HY52" s="25">
        <f t="shared" si="781"/>
        <v>152562966</v>
      </c>
      <c r="HZ52" s="25">
        <f t="shared" si="781"/>
        <v>10728240</v>
      </c>
      <c r="IA52" s="39">
        <f>IF(SUM(IA48:IA51)=0,"",SUM(IA48:IA51)/COUNT(IA48:IA51))</f>
        <v>6.1249999999999999E-2</v>
      </c>
      <c r="IB52" s="25">
        <f t="shared" ref="IB52:II52" si="782">SUM(IB48:IB51)</f>
        <v>15</v>
      </c>
      <c r="IC52" s="25">
        <f t="shared" si="782"/>
        <v>20501440</v>
      </c>
      <c r="ID52" s="25">
        <f t="shared" si="782"/>
        <v>33</v>
      </c>
      <c r="IE52" s="25">
        <f t="shared" si="782"/>
        <v>59325324</v>
      </c>
      <c r="IF52" s="25">
        <f t="shared" si="782"/>
        <v>72</v>
      </c>
      <c r="IG52" s="25">
        <f t="shared" si="782"/>
        <v>99585678</v>
      </c>
      <c r="IH52" s="25">
        <f t="shared" si="782"/>
        <v>113241047</v>
      </c>
      <c r="II52" s="25">
        <f t="shared" si="782"/>
        <v>7866202</v>
      </c>
      <c r="IJ52" s="39">
        <f>IF(SUM(IJ48:IJ51)=0,"",SUM(IJ48:IJ51)/COUNT(IJ48:IJ51))</f>
        <v>20.947849999999999</v>
      </c>
      <c r="IK52" s="25">
        <f t="shared" ref="IK52:IR52" si="783">SUM(IK48:IK51)</f>
        <v>13</v>
      </c>
      <c r="IL52" s="25">
        <f t="shared" si="783"/>
        <v>23570000</v>
      </c>
      <c r="IM52" s="25">
        <f t="shared" si="783"/>
        <v>24</v>
      </c>
      <c r="IN52" s="25">
        <f t="shared" si="783"/>
        <v>31650807</v>
      </c>
      <c r="IO52" s="25">
        <f t="shared" si="783"/>
        <v>61</v>
      </c>
      <c r="IP52" s="25">
        <f t="shared" si="783"/>
        <v>91504871</v>
      </c>
      <c r="IQ52" s="25">
        <f t="shared" si="783"/>
        <v>94170035</v>
      </c>
      <c r="IR52" s="25">
        <f t="shared" si="783"/>
        <v>6347356</v>
      </c>
      <c r="IS52" s="39">
        <f>IF(SUM(IS48:IS51)=0,"",SUM(IS48:IS51)/COUNT(IS48:IS51))</f>
        <v>4.3333333333333335E-2</v>
      </c>
      <c r="IT52" s="25">
        <f t="shared" ref="IT52:JA52" si="784">SUM(IT48:IT51)</f>
        <v>11</v>
      </c>
      <c r="IU52" s="25">
        <f t="shared" si="784"/>
        <v>14700000</v>
      </c>
      <c r="IV52" s="25">
        <f t="shared" si="784"/>
        <v>21</v>
      </c>
      <c r="IW52" s="25">
        <f t="shared" si="784"/>
        <v>28046638</v>
      </c>
      <c r="IX52" s="25">
        <f t="shared" si="784"/>
        <v>51</v>
      </c>
      <c r="IY52" s="25">
        <f t="shared" si="784"/>
        <v>78158233</v>
      </c>
      <c r="IZ52" s="25">
        <f t="shared" si="784"/>
        <v>84414853</v>
      </c>
      <c r="JA52" s="25">
        <f t="shared" si="784"/>
        <v>5662893</v>
      </c>
      <c r="JB52" s="39">
        <f>IF(SUM(JB48:JB51)=0,"",SUM(JB48:JB51)/COUNT(JB48:JB51))</f>
        <v>5.96E-2</v>
      </c>
      <c r="JC52" s="25">
        <f t="shared" ref="JC52:JJ52" si="785">SUM(JC48:JC51)</f>
        <v>6</v>
      </c>
      <c r="JD52" s="25">
        <f t="shared" si="785"/>
        <v>11892278</v>
      </c>
      <c r="JE52" s="25">
        <f t="shared" si="785"/>
        <v>14</v>
      </c>
      <c r="JF52" s="25">
        <f t="shared" si="785"/>
        <v>24885890</v>
      </c>
      <c r="JG52" s="25">
        <f t="shared" si="785"/>
        <v>43</v>
      </c>
      <c r="JH52" s="25">
        <f t="shared" si="785"/>
        <v>65164621</v>
      </c>
      <c r="JI52" s="25">
        <f t="shared" si="785"/>
        <v>71903674</v>
      </c>
      <c r="JJ52" s="25">
        <f t="shared" si="785"/>
        <v>4796781</v>
      </c>
      <c r="JK52" s="39">
        <f>IF(SUM(JK48:JK51)=0,"",SUM(JK48:JK51)/COUNT(JK48:JK51))</f>
        <v>6.5799999999999997E-2</v>
      </c>
      <c r="JL52" s="25">
        <f t="shared" ref="JL52:JS52" si="786">SUM(JL48:JL51)</f>
        <v>10</v>
      </c>
      <c r="JM52" s="25">
        <f t="shared" si="786"/>
        <v>13300000</v>
      </c>
      <c r="JN52" s="25">
        <f t="shared" si="786"/>
        <v>12</v>
      </c>
      <c r="JO52" s="25">
        <f t="shared" si="786"/>
        <v>23741646</v>
      </c>
      <c r="JP52" s="25">
        <f t="shared" si="786"/>
        <v>41</v>
      </c>
      <c r="JQ52" s="25">
        <f t="shared" si="786"/>
        <v>54722975</v>
      </c>
      <c r="JR52" s="25">
        <f t="shared" si="786"/>
        <v>59205789</v>
      </c>
      <c r="JS52" s="25">
        <f t="shared" si="786"/>
        <v>3928497</v>
      </c>
      <c r="JT52" s="39">
        <f>IF(SUM(JT48:JT51)=0,"",SUM(JT48:JT51)/COUNT(JT48:JT51))</f>
        <v>6.9550000000000001E-2</v>
      </c>
      <c r="JU52" s="25">
        <f t="shared" ref="JU52:KB52" si="787">SUM(JU48:JU51)</f>
        <v>4</v>
      </c>
      <c r="JV52" s="25">
        <f t="shared" si="787"/>
        <v>5340000</v>
      </c>
      <c r="JW52" s="25">
        <f t="shared" si="787"/>
        <v>10</v>
      </c>
      <c r="JX52" s="25">
        <f t="shared" si="787"/>
        <v>16507022</v>
      </c>
      <c r="JY52" s="25">
        <f t="shared" si="787"/>
        <v>35</v>
      </c>
      <c r="JZ52" s="25">
        <f t="shared" si="787"/>
        <v>43555953</v>
      </c>
      <c r="KA52" s="25">
        <f t="shared" si="787"/>
        <v>47784536</v>
      </c>
      <c r="KB52" s="25">
        <f t="shared" si="787"/>
        <v>3072191</v>
      </c>
      <c r="KC52" s="39">
        <f>IF(SUM(KC48:KC51)=0,"",SUM(KC48:KC51)/COUNT(KC48:KC51))</f>
        <v>6.6250000000000003E-2</v>
      </c>
      <c r="KD52" s="25">
        <f t="shared" ref="KD52:KK52" si="788">SUM(KD48:KD51)</f>
        <v>8</v>
      </c>
      <c r="KE52" s="25">
        <f t="shared" si="788"/>
        <v>14915077</v>
      </c>
      <c r="KF52" s="25">
        <f t="shared" si="788"/>
        <v>9</v>
      </c>
      <c r="KG52" s="25">
        <f t="shared" si="788"/>
        <v>14872333</v>
      </c>
      <c r="KH52" s="25">
        <f t="shared" si="788"/>
        <v>34</v>
      </c>
      <c r="KI52" s="25">
        <f t="shared" si="788"/>
        <v>43598697</v>
      </c>
      <c r="KJ52" s="25">
        <f t="shared" si="788"/>
        <v>44081085</v>
      </c>
      <c r="KK52" s="25">
        <f t="shared" si="788"/>
        <v>2794450</v>
      </c>
      <c r="KL52" s="39">
        <f>IF(SUM(KL48:KL51)=0,"",SUM(KL48:KL51)/COUNT(KL48:KL51))</f>
        <v>6.5849999999999992E-2</v>
      </c>
      <c r="KM52" s="25">
        <f t="shared" ref="KM52:KT52" si="789">SUM(KM48:KM51)</f>
        <v>12</v>
      </c>
      <c r="KN52" s="25">
        <f t="shared" si="789"/>
        <v>23080000</v>
      </c>
      <c r="KO52" s="25">
        <f t="shared" si="789"/>
        <v>17</v>
      </c>
      <c r="KP52" s="25">
        <f t="shared" si="789"/>
        <v>22904292</v>
      </c>
      <c r="KQ52" s="25">
        <f t="shared" si="789"/>
        <v>29</v>
      </c>
      <c r="KR52" s="25">
        <f t="shared" si="789"/>
        <v>43774405</v>
      </c>
      <c r="KS52" s="25">
        <f t="shared" si="789"/>
        <v>43545442</v>
      </c>
      <c r="KT52" s="25">
        <f t="shared" si="789"/>
        <v>2688272</v>
      </c>
      <c r="KU52" s="39">
        <f>IF(SUM(KU48:KU51)=0,"",SUM(KU48:KU51)/COUNT(KU48:KU51))</f>
        <v>6.4149999999999999E-2</v>
      </c>
      <c r="KV52" s="25">
        <f t="shared" ref="KV52:LC52" si="790">SUM(KV48:KV51)</f>
        <v>4</v>
      </c>
      <c r="KW52" s="25">
        <f t="shared" si="790"/>
        <v>10520000</v>
      </c>
      <c r="KX52" s="25">
        <f t="shared" si="790"/>
        <v>7</v>
      </c>
      <c r="KY52" s="25">
        <f t="shared" si="790"/>
        <v>13168628</v>
      </c>
      <c r="KZ52" s="25">
        <f t="shared" si="790"/>
        <v>26</v>
      </c>
      <c r="LA52" s="25">
        <f t="shared" si="790"/>
        <v>41125777</v>
      </c>
      <c r="LB52" s="25">
        <f t="shared" si="790"/>
        <v>40302063</v>
      </c>
      <c r="LC52" s="25">
        <f t="shared" si="790"/>
        <v>2490824</v>
      </c>
      <c r="LD52" s="39">
        <f>IF(SUM(LD48:LD51)=0,"",SUM(LD48:LD51)/COUNT(LD48:LD51))</f>
        <v>6.5500000000000003E-2</v>
      </c>
      <c r="LE52" s="25">
        <f t="shared" ref="LE52:LL52" si="791">SUM(LE48:LE51)</f>
        <v>2</v>
      </c>
      <c r="LF52" s="25">
        <f t="shared" si="791"/>
        <v>1160000</v>
      </c>
      <c r="LG52" s="25">
        <f t="shared" si="791"/>
        <v>5</v>
      </c>
      <c r="LH52" s="25">
        <f t="shared" si="791"/>
        <v>10953988</v>
      </c>
      <c r="LI52" s="25">
        <f t="shared" si="791"/>
        <v>23</v>
      </c>
      <c r="LJ52" s="25">
        <f t="shared" si="791"/>
        <v>31331789</v>
      </c>
      <c r="LK52" s="25">
        <f t="shared" si="791"/>
        <v>35618280</v>
      </c>
      <c r="LL52" s="25">
        <f t="shared" si="791"/>
        <v>2273991</v>
      </c>
      <c r="LM52" s="39">
        <f>IF(SUM(LM48:LM51)=0,"",SUM(LM48:LM51)/COUNT(LM48:LM51))</f>
        <v>6.7000000000000004E-2</v>
      </c>
      <c r="LN52" s="25">
        <f t="shared" ref="LN52:LU52" si="792">SUM(LN48:LN51)</f>
        <v>3</v>
      </c>
      <c r="LO52" s="25">
        <f t="shared" si="792"/>
        <v>5090000</v>
      </c>
      <c r="LP52" s="25">
        <f t="shared" si="792"/>
        <v>9</v>
      </c>
      <c r="LQ52" s="25">
        <f t="shared" si="792"/>
        <v>12210306</v>
      </c>
      <c r="LR52" s="25">
        <f t="shared" si="792"/>
        <v>17</v>
      </c>
      <c r="LS52" s="25">
        <f t="shared" si="792"/>
        <v>24211483</v>
      </c>
      <c r="LT52" s="25">
        <f t="shared" si="792"/>
        <v>25665667</v>
      </c>
      <c r="LU52" s="25">
        <f t="shared" si="792"/>
        <v>1649459</v>
      </c>
      <c r="LV52" s="39">
        <f>IF(SUM(LV48:LV51)=0,"",SUM(LV48:LV51)/COUNT(LV48:LV51))</f>
        <v>7.0000000000000007E-2</v>
      </c>
      <c r="LW52" s="25">
        <f t="shared" ref="LW52:MD52" si="793">SUM(LW48:LW51)</f>
        <v>4</v>
      </c>
      <c r="LX52" s="25">
        <f t="shared" si="793"/>
        <v>5730000</v>
      </c>
      <c r="LY52" s="25">
        <f t="shared" si="793"/>
        <v>4</v>
      </c>
      <c r="LZ52" s="25">
        <f t="shared" si="793"/>
        <v>6831648</v>
      </c>
      <c r="MA52" s="25">
        <f t="shared" si="793"/>
        <v>17</v>
      </c>
      <c r="MB52" s="25">
        <f t="shared" si="793"/>
        <v>23109835</v>
      </c>
      <c r="MC52" s="25">
        <f t="shared" si="793"/>
        <v>24929322</v>
      </c>
      <c r="MD52" s="25">
        <f t="shared" si="793"/>
        <v>1652194</v>
      </c>
      <c r="ME52" s="39">
        <f>IF(SUM(ME48:ME51)=0,"",SUM(ME48:ME51)/COUNT(ME48:ME51))</f>
        <v>7.6949999999999991E-2</v>
      </c>
      <c r="MF52" s="25">
        <f t="shared" ref="MF52:MM52" si="794">SUM(MF48:MF51)</f>
        <v>1</v>
      </c>
      <c r="MG52" s="25">
        <f t="shared" si="794"/>
        <v>300000</v>
      </c>
      <c r="MH52" s="25">
        <f t="shared" si="794"/>
        <v>3</v>
      </c>
      <c r="MI52" s="25">
        <f t="shared" si="794"/>
        <v>5447225</v>
      </c>
      <c r="MJ52" s="25">
        <f t="shared" si="794"/>
        <v>15</v>
      </c>
      <c r="MK52" s="25">
        <f t="shared" si="794"/>
        <v>17962610</v>
      </c>
      <c r="ML52" s="25">
        <f t="shared" si="794"/>
        <v>20169801</v>
      </c>
      <c r="MM52" s="25">
        <f t="shared" si="794"/>
        <v>1368933</v>
      </c>
      <c r="MN52" s="39">
        <f>IF(SUM(MN48:MN51)=0,"",SUM(MN48:MN51)/COUNT(MN48:MN51))</f>
        <v>6.7900000000000002E-2</v>
      </c>
      <c r="MO52" s="25">
        <f t="shared" ref="MO52:MV52" si="795">SUM(MO48:MO51)</f>
        <v>0</v>
      </c>
      <c r="MP52" s="25">
        <f t="shared" si="795"/>
        <v>0</v>
      </c>
      <c r="MQ52" s="25">
        <f t="shared" si="795"/>
        <v>2</v>
      </c>
      <c r="MR52" s="25">
        <f t="shared" si="795"/>
        <v>4261478</v>
      </c>
      <c r="MS52" s="25">
        <f t="shared" si="795"/>
        <v>13</v>
      </c>
      <c r="MT52" s="25">
        <f t="shared" si="795"/>
        <v>13701132</v>
      </c>
      <c r="MU52" s="25">
        <f t="shared" si="795"/>
        <v>15615386</v>
      </c>
      <c r="MV52" s="25">
        <f t="shared" si="795"/>
        <v>1071311</v>
      </c>
      <c r="MW52" s="39">
        <f>IF(SUM(MW48:MW51)=0,"",SUM(MW48:MW51)/COUNT(MW48:MW51))</f>
        <v>6.8599999999999994E-2</v>
      </c>
      <c r="MX52" s="25">
        <f t="shared" ref="MX52:NE52" si="796">SUM(MX48:MX51)</f>
        <v>2</v>
      </c>
      <c r="MY52" s="25">
        <f t="shared" si="796"/>
        <v>3030000</v>
      </c>
      <c r="MZ52" s="25">
        <f t="shared" si="796"/>
        <v>4</v>
      </c>
      <c r="NA52" s="25">
        <f t="shared" si="796"/>
        <v>6000809</v>
      </c>
      <c r="NB52" s="25">
        <f t="shared" si="796"/>
        <v>11</v>
      </c>
      <c r="NC52" s="25">
        <f t="shared" si="796"/>
        <v>10730323</v>
      </c>
      <c r="ND52" s="25">
        <f t="shared" si="796"/>
        <v>12120428</v>
      </c>
      <c r="NE52" s="25">
        <f t="shared" si="796"/>
        <v>842086</v>
      </c>
      <c r="NF52" s="39">
        <f>IF(SUM(NF48:NF51)=0,"",SUM(NF48:NF51)/COUNT(NF48:NF51))</f>
        <v>6.9500000000000006E-2</v>
      </c>
      <c r="NG52" s="25">
        <f t="shared" ref="NG52:NN52" si="797">SUM(NG48:NG51)</f>
        <v>3</v>
      </c>
      <c r="NH52" s="25">
        <f t="shared" si="797"/>
        <v>3270000</v>
      </c>
      <c r="NI52" s="25">
        <f t="shared" si="797"/>
        <v>4</v>
      </c>
      <c r="NJ52" s="25">
        <f t="shared" si="797"/>
        <v>5982804</v>
      </c>
      <c r="NK52" s="25">
        <f t="shared" si="797"/>
        <v>10</v>
      </c>
      <c r="NL52" s="25">
        <f t="shared" si="797"/>
        <v>8017519</v>
      </c>
      <c r="NM52" s="25">
        <f t="shared" si="797"/>
        <v>9841154</v>
      </c>
      <c r="NN52" s="25">
        <f t="shared" si="797"/>
        <v>547958</v>
      </c>
      <c r="NO52" s="39">
        <f>IF(SUM(NO48:NO51)=0,"",SUM(NO48:NO51)/COUNT(NO48:NO51))</f>
        <v>5.57E-2</v>
      </c>
      <c r="NP52" s="25">
        <f t="shared" ref="NP52:NW52" si="798">SUM(NP48:NP51)</f>
        <v>0</v>
      </c>
      <c r="NQ52" s="25">
        <f t="shared" si="798"/>
        <v>0</v>
      </c>
      <c r="NR52" s="25">
        <f t="shared" si="798"/>
        <v>3</v>
      </c>
      <c r="NS52" s="25">
        <f t="shared" si="798"/>
        <v>2847128</v>
      </c>
      <c r="NT52" s="25">
        <f t="shared" si="798"/>
        <v>7</v>
      </c>
      <c r="NU52" s="25">
        <f t="shared" si="798"/>
        <v>5170391</v>
      </c>
      <c r="NV52" s="25">
        <f t="shared" si="798"/>
        <v>6555719</v>
      </c>
      <c r="NW52" s="25">
        <f t="shared" si="798"/>
        <v>460685</v>
      </c>
      <c r="NX52" s="39">
        <f>IF(SUM(NX48:NX51)=0,"",SUM(NX48:NX51)/COUNT(NX48:NX51))</f>
        <v>7.0300000000000001E-2</v>
      </c>
      <c r="NY52" s="25">
        <f t="shared" ref="NY52:OF52" si="799">SUM(NY48:NY51)</f>
        <v>1</v>
      </c>
      <c r="NZ52" s="25">
        <f t="shared" si="799"/>
        <v>1000000</v>
      </c>
      <c r="OA52" s="25">
        <f t="shared" si="799"/>
        <v>1</v>
      </c>
      <c r="OB52" s="25">
        <f t="shared" si="799"/>
        <v>1885937</v>
      </c>
      <c r="OC52" s="25">
        <f t="shared" si="799"/>
        <v>7</v>
      </c>
      <c r="OD52" s="25">
        <f t="shared" si="799"/>
        <v>4284454</v>
      </c>
      <c r="OE52" s="25">
        <f t="shared" si="799"/>
        <v>5159875</v>
      </c>
      <c r="OF52" s="25">
        <f t="shared" si="799"/>
        <v>354662</v>
      </c>
      <c r="OG52" s="39">
        <f>IF(SUM(OG48:OG51)=0,"",SUM(OG48:OG51)/COUNT(OG48:OG51))</f>
        <v>6.8699999999999997E-2</v>
      </c>
      <c r="OH52" s="25">
        <f t="shared" ref="OH52:OO52" si="800">SUM(OH48:OH51)</f>
        <v>1</v>
      </c>
      <c r="OI52" s="25">
        <f t="shared" si="800"/>
        <v>1000000</v>
      </c>
      <c r="OJ52" s="25">
        <f t="shared" si="800"/>
        <v>3</v>
      </c>
      <c r="OK52" s="25">
        <f t="shared" si="800"/>
        <v>1641397</v>
      </c>
      <c r="OL52" s="25">
        <f t="shared" si="800"/>
        <v>5</v>
      </c>
      <c r="OM52" s="25">
        <f t="shared" si="800"/>
        <v>3643057</v>
      </c>
      <c r="ON52" s="25">
        <f t="shared" si="800"/>
        <v>4202337</v>
      </c>
      <c r="OO52" s="25">
        <f t="shared" si="800"/>
        <v>297228</v>
      </c>
      <c r="OP52" s="39">
        <f>IF(SUM(OP48:OP51)=0,"",SUM(OP48:OP51)/COUNT(OP48:OP51))</f>
        <v>7.0699999999999999E-2</v>
      </c>
      <c r="OQ52" s="25">
        <f t="shared" ref="OQ52:OX52" si="801">SUM(OQ48:OQ51)</f>
        <v>0</v>
      </c>
      <c r="OR52" s="25">
        <f t="shared" si="801"/>
        <v>0</v>
      </c>
      <c r="OS52" s="25">
        <f t="shared" si="801"/>
        <v>3</v>
      </c>
      <c r="OT52" s="25">
        <f t="shared" si="801"/>
        <v>2397680</v>
      </c>
      <c r="OU52" s="25">
        <f t="shared" si="801"/>
        <v>2</v>
      </c>
      <c r="OV52" s="25">
        <f t="shared" si="801"/>
        <v>1245377</v>
      </c>
      <c r="OW52" s="25">
        <f t="shared" si="801"/>
        <v>2686824</v>
      </c>
      <c r="OX52" s="25">
        <f t="shared" si="801"/>
        <v>193960</v>
      </c>
      <c r="OY52" s="39">
        <f>IF(SUM(OY48:OY51)=0,"",SUM(OY48:OY51)/COUNT(OY48:OY51))</f>
        <v>7.22E-2</v>
      </c>
      <c r="OZ52" s="27">
        <f t="shared" ref="OZ52:PG52" si="802">SUM(OZ48:OZ51)</f>
        <v>0</v>
      </c>
      <c r="PA52" s="27">
        <f t="shared" si="802"/>
        <v>0</v>
      </c>
      <c r="PB52" s="27">
        <f t="shared" si="802"/>
        <v>0</v>
      </c>
      <c r="PC52" s="27">
        <f t="shared" si="802"/>
        <v>0</v>
      </c>
      <c r="PD52" s="27">
        <f t="shared" si="802"/>
        <v>0</v>
      </c>
      <c r="PE52" s="27">
        <f t="shared" si="802"/>
        <v>0</v>
      </c>
      <c r="PF52" s="27">
        <f t="shared" si="802"/>
        <v>0</v>
      </c>
      <c r="PG52" s="27">
        <f t="shared" si="802"/>
        <v>0</v>
      </c>
      <c r="PH52" s="28" t="str">
        <f>IF(SUM(PH48:PH51)=0,"",SUM(PH48:PH51)/COUNT(PH48:PH51))</f>
        <v/>
      </c>
    </row>
    <row r="53" spans="1:424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  <c r="K53" s="24"/>
      <c r="L53" s="24"/>
      <c r="M53" s="24"/>
      <c r="N53" s="24"/>
      <c r="O53" s="24"/>
      <c r="P53" s="24"/>
      <c r="Q53" s="24"/>
      <c r="R53" s="24"/>
      <c r="S53" s="38"/>
      <c r="T53" s="24"/>
      <c r="U53" s="24"/>
      <c r="V53" s="24"/>
      <c r="W53" s="24"/>
      <c r="X53" s="24"/>
      <c r="Y53" s="24"/>
      <c r="Z53" s="24"/>
      <c r="AA53" s="24"/>
      <c r="AB53" s="38"/>
      <c r="AC53" s="24"/>
      <c r="AD53" s="24"/>
      <c r="AE53" s="24"/>
      <c r="AF53" s="24"/>
      <c r="AG53" s="24"/>
      <c r="AH53" s="24"/>
      <c r="AI53" s="24"/>
      <c r="AJ53" s="24"/>
      <c r="AK53" s="38"/>
      <c r="AL53" s="24"/>
      <c r="AM53" s="24"/>
      <c r="AN53" s="24"/>
      <c r="AO53" s="24"/>
      <c r="AP53" s="24"/>
      <c r="AQ53" s="24"/>
      <c r="AR53" s="24"/>
      <c r="AS53" s="24"/>
      <c r="AT53" s="38"/>
      <c r="AU53" s="24"/>
      <c r="AV53" s="24"/>
      <c r="AW53" s="24"/>
      <c r="AX53" s="24"/>
      <c r="AY53" s="24"/>
      <c r="AZ53" s="24"/>
      <c r="BA53" s="24"/>
      <c r="BB53" s="24"/>
      <c r="BC53" s="38"/>
      <c r="BD53" s="24"/>
      <c r="BE53" s="24"/>
      <c r="BF53" s="24"/>
      <c r="BG53" s="24"/>
      <c r="BH53" s="24"/>
      <c r="BI53" s="24"/>
      <c r="BJ53" s="24"/>
      <c r="BK53" s="24"/>
      <c r="BL53" s="38"/>
      <c r="BM53" s="24"/>
      <c r="BN53" s="24"/>
      <c r="BO53" s="24"/>
      <c r="BP53" s="24"/>
      <c r="BQ53" s="24"/>
      <c r="BR53" s="24"/>
      <c r="BS53" s="24"/>
      <c r="BT53" s="24"/>
      <c r="BU53" s="38"/>
      <c r="BV53" s="24"/>
      <c r="BW53" s="24"/>
      <c r="BX53" s="24"/>
      <c r="BY53" s="24"/>
      <c r="BZ53" s="24"/>
      <c r="CA53" s="24"/>
      <c r="CB53" s="24"/>
      <c r="CC53" s="24"/>
      <c r="CD53" s="38"/>
      <c r="CE53" s="24"/>
      <c r="CF53" s="24"/>
      <c r="CG53" s="24"/>
      <c r="CH53" s="24"/>
      <c r="CI53" s="24"/>
      <c r="CJ53" s="24"/>
      <c r="CK53" s="24"/>
      <c r="CL53" s="24"/>
      <c r="CM53" s="38"/>
      <c r="CN53" s="24"/>
      <c r="CO53" s="24"/>
      <c r="CP53" s="24"/>
      <c r="CQ53" s="24"/>
      <c r="CR53" s="24"/>
      <c r="CS53" s="24"/>
      <c r="CT53" s="24"/>
      <c r="CU53" s="24"/>
      <c r="CV53" s="38"/>
      <c r="CW53" s="24"/>
      <c r="CX53" s="24"/>
      <c r="CY53" s="24"/>
      <c r="CZ53" s="24"/>
      <c r="DA53" s="24"/>
      <c r="DB53" s="24"/>
      <c r="DC53" s="24"/>
      <c r="DD53" s="24"/>
      <c r="DE53" s="38"/>
      <c r="DF53" s="24"/>
      <c r="DG53" s="24"/>
      <c r="DH53" s="24"/>
      <c r="DI53" s="24"/>
      <c r="DJ53" s="24"/>
      <c r="DK53" s="24"/>
      <c r="DL53" s="24"/>
      <c r="DM53" s="24"/>
      <c r="DN53" s="38"/>
      <c r="DO53" s="24"/>
      <c r="DP53" s="24"/>
      <c r="DQ53" s="24"/>
      <c r="DR53" s="24"/>
      <c r="DS53" s="24"/>
      <c r="DT53" s="24"/>
      <c r="DU53" s="24"/>
      <c r="DV53" s="24"/>
      <c r="DW53" s="38"/>
      <c r="DX53" s="24"/>
      <c r="DY53" s="24"/>
      <c r="DZ53" s="24"/>
      <c r="EA53" s="24"/>
      <c r="EB53" s="24"/>
      <c r="EC53" s="24"/>
      <c r="ED53" s="24"/>
      <c r="EE53" s="24"/>
      <c r="EF53" s="38"/>
      <c r="EG53" s="24"/>
      <c r="EH53" s="24"/>
      <c r="EI53" s="24"/>
      <c r="EJ53" s="24"/>
      <c r="EK53" s="24"/>
      <c r="EL53" s="24"/>
      <c r="EM53" s="24"/>
      <c r="EN53" s="24"/>
      <c r="EO53" s="38"/>
      <c r="EP53" s="24"/>
      <c r="EQ53" s="24"/>
      <c r="ER53" s="24"/>
      <c r="ES53" s="24"/>
      <c r="ET53" s="24"/>
      <c r="EU53" s="24"/>
      <c r="EV53" s="24"/>
      <c r="EW53" s="24"/>
      <c r="EX53" s="38"/>
      <c r="EY53" s="24"/>
      <c r="EZ53" s="24"/>
      <c r="FA53" s="24"/>
      <c r="FB53" s="24"/>
      <c r="FC53" s="24"/>
      <c r="FD53" s="24"/>
      <c r="FE53" s="24"/>
      <c r="FF53" s="24"/>
      <c r="FG53" s="38"/>
      <c r="FH53" s="24"/>
      <c r="FI53" s="24"/>
      <c r="FJ53" s="24"/>
      <c r="FK53" s="24"/>
      <c r="FL53" s="24"/>
      <c r="FM53" s="24"/>
      <c r="FN53" s="24"/>
      <c r="FO53" s="24"/>
      <c r="FP53" s="38"/>
      <c r="FQ53" s="24"/>
      <c r="FR53" s="24"/>
      <c r="FS53" s="24"/>
      <c r="FT53" s="24"/>
      <c r="FU53" s="24"/>
      <c r="FV53" s="24"/>
      <c r="FW53" s="24"/>
      <c r="FX53" s="24"/>
      <c r="FY53" s="38"/>
      <c r="FZ53" s="24"/>
      <c r="GA53" s="24"/>
      <c r="GB53" s="24"/>
      <c r="GC53" s="24"/>
      <c r="GD53" s="24"/>
      <c r="GE53" s="24"/>
      <c r="GF53" s="24"/>
      <c r="GG53" s="24"/>
      <c r="GH53" s="38"/>
      <c r="GI53" s="24"/>
      <c r="GJ53" s="24"/>
      <c r="GK53" s="24"/>
      <c r="GL53" s="24"/>
      <c r="GM53" s="24"/>
      <c r="GN53" s="24"/>
      <c r="GO53" s="24"/>
      <c r="GP53" s="24"/>
      <c r="GQ53" s="38"/>
      <c r="GR53" s="24"/>
      <c r="GS53" s="24"/>
      <c r="GT53" s="24"/>
      <c r="GU53" s="24"/>
      <c r="GV53" s="24"/>
      <c r="GW53" s="24"/>
      <c r="GX53" s="24"/>
      <c r="GY53" s="24"/>
      <c r="GZ53" s="38"/>
      <c r="HA53" s="24"/>
      <c r="HB53" s="24"/>
      <c r="HC53" s="24"/>
      <c r="HD53" s="24"/>
      <c r="HE53" s="24"/>
      <c r="HF53" s="24"/>
      <c r="HG53" s="24"/>
      <c r="HH53" s="24"/>
      <c r="HI53" s="38"/>
      <c r="HJ53" s="24"/>
      <c r="HK53" s="24"/>
      <c r="HL53" s="24"/>
      <c r="HM53" s="24"/>
      <c r="HN53" s="24"/>
      <c r="HO53" s="24"/>
      <c r="HP53" s="24"/>
      <c r="HQ53" s="24"/>
      <c r="HR53" s="38"/>
      <c r="HS53" s="24"/>
      <c r="HT53" s="24"/>
      <c r="HU53" s="24"/>
      <c r="HV53" s="24"/>
      <c r="HW53" s="24"/>
      <c r="HX53" s="24"/>
      <c r="HY53" s="24"/>
      <c r="HZ53" s="24"/>
      <c r="IA53" s="38"/>
      <c r="IB53" s="24"/>
      <c r="IC53" s="24"/>
      <c r="ID53" s="24"/>
      <c r="IE53" s="24"/>
      <c r="IF53" s="24"/>
      <c r="IG53" s="24"/>
      <c r="IH53" s="24"/>
      <c r="II53" s="24"/>
      <c r="IJ53" s="38"/>
      <c r="IK53" s="24"/>
      <c r="IL53" s="24"/>
      <c r="IM53" s="24"/>
      <c r="IN53" s="24"/>
      <c r="IO53" s="24"/>
      <c r="IP53" s="24"/>
      <c r="IQ53" s="24"/>
      <c r="IR53" s="24"/>
      <c r="IS53" s="38"/>
      <c r="IT53" s="24"/>
      <c r="IU53" s="24"/>
      <c r="IV53" s="24"/>
      <c r="IW53" s="24"/>
      <c r="IX53" s="24"/>
      <c r="IY53" s="24"/>
      <c r="IZ53" s="24"/>
      <c r="JA53" s="24"/>
      <c r="JB53" s="38"/>
      <c r="JC53" s="24"/>
      <c r="JD53" s="24"/>
      <c r="JE53" s="24"/>
      <c r="JF53" s="24"/>
      <c r="JG53" s="24"/>
      <c r="JH53" s="24"/>
      <c r="JI53" s="24"/>
      <c r="JJ53" s="24"/>
      <c r="JK53" s="38"/>
      <c r="JL53" s="24"/>
      <c r="JM53" s="24"/>
      <c r="JN53" s="24"/>
      <c r="JO53" s="24"/>
      <c r="JP53" s="24"/>
      <c r="JQ53" s="24"/>
      <c r="JR53" s="24"/>
      <c r="JS53" s="24"/>
      <c r="JT53" s="38"/>
      <c r="JU53" s="24"/>
      <c r="JV53" s="24"/>
      <c r="JW53" s="24"/>
      <c r="JX53" s="24"/>
      <c r="JY53" s="24"/>
      <c r="JZ53" s="24"/>
      <c r="KA53" s="24"/>
      <c r="KB53" s="24"/>
      <c r="KC53" s="38"/>
      <c r="KD53" s="24"/>
      <c r="KE53" s="24"/>
      <c r="KF53" s="24"/>
      <c r="KG53" s="24"/>
      <c r="KH53" s="24"/>
      <c r="KI53" s="24"/>
      <c r="KJ53" s="24"/>
      <c r="KK53" s="24"/>
      <c r="KL53" s="38"/>
      <c r="KM53" s="24"/>
      <c r="KN53" s="24"/>
      <c r="KO53" s="24"/>
      <c r="KP53" s="24"/>
      <c r="KQ53" s="24"/>
      <c r="KR53" s="24"/>
      <c r="KS53" s="24"/>
      <c r="KT53" s="24"/>
      <c r="KU53" s="38"/>
      <c r="KV53" s="24"/>
      <c r="KW53" s="24"/>
      <c r="KX53" s="24"/>
      <c r="KY53" s="24"/>
      <c r="KZ53" s="24"/>
      <c r="LA53" s="24"/>
      <c r="LB53" s="24"/>
      <c r="LC53" s="24"/>
      <c r="LD53" s="38"/>
      <c r="LE53" s="24">
        <v>8</v>
      </c>
      <c r="LF53" s="24">
        <v>10410000</v>
      </c>
      <c r="LG53" s="24">
        <v>0</v>
      </c>
      <c r="LH53" s="24">
        <v>108898</v>
      </c>
      <c r="LI53" s="24">
        <v>8</v>
      </c>
      <c r="LJ53" s="24">
        <v>10301102</v>
      </c>
      <c r="LK53" s="24">
        <v>1946366</v>
      </c>
      <c r="LL53" s="24">
        <v>55683</v>
      </c>
      <c r="LM53" s="38">
        <v>2.86E-2</v>
      </c>
      <c r="LN53" s="24">
        <v>8</v>
      </c>
      <c r="LO53" s="24">
        <v>12670000</v>
      </c>
      <c r="LP53" s="24">
        <v>1</v>
      </c>
      <c r="LQ53" s="24">
        <v>3550417</v>
      </c>
      <c r="LR53" s="24">
        <v>15</v>
      </c>
      <c r="LS53" s="24">
        <v>19420685</v>
      </c>
      <c r="LT53" s="24">
        <v>13483675</v>
      </c>
      <c r="LU53" s="24">
        <v>1062847</v>
      </c>
      <c r="LV53" s="38">
        <v>7.8799999999999995E-2</v>
      </c>
      <c r="LW53" s="24">
        <v>7</v>
      </c>
      <c r="LX53" s="24">
        <v>11440416</v>
      </c>
      <c r="LY53" s="24">
        <v>3</v>
      </c>
      <c r="LZ53" s="24">
        <v>1428230</v>
      </c>
      <c r="MA53" s="24">
        <v>19</v>
      </c>
      <c r="MB53" s="24">
        <v>29432871</v>
      </c>
      <c r="MC53" s="24">
        <v>21788035</v>
      </c>
      <c r="MD53" s="24">
        <v>1559982</v>
      </c>
      <c r="ME53" s="38">
        <v>7.1599999999999997E-2</v>
      </c>
      <c r="MF53" s="24">
        <v>3</v>
      </c>
      <c r="MG53" s="24">
        <v>1800000</v>
      </c>
      <c r="MH53" s="24">
        <v>3</v>
      </c>
      <c r="MI53" s="24">
        <v>5936819</v>
      </c>
      <c r="MJ53" s="24">
        <v>19</v>
      </c>
      <c r="MK53" s="24">
        <v>25296052</v>
      </c>
      <c r="ML53" s="24">
        <v>21788035</v>
      </c>
      <c r="MM53" s="24">
        <v>1559982</v>
      </c>
      <c r="MN53" s="38">
        <v>7.1599999999999997E-2</v>
      </c>
      <c r="MO53" s="24">
        <v>1</v>
      </c>
      <c r="MP53" s="24">
        <v>992992</v>
      </c>
      <c r="MQ53" s="24">
        <v>1</v>
      </c>
      <c r="MR53" s="24">
        <v>-917997</v>
      </c>
      <c r="MS53" s="24">
        <v>19</v>
      </c>
      <c r="MT53" s="24">
        <v>27207041</v>
      </c>
      <c r="MU53" s="24">
        <v>21788035</v>
      </c>
      <c r="MV53" s="24">
        <v>1652295</v>
      </c>
      <c r="MW53" s="38">
        <v>7.5800000000000006E-2</v>
      </c>
      <c r="MX53" s="24">
        <v>2</v>
      </c>
      <c r="MY53" s="24">
        <v>4370000</v>
      </c>
      <c r="MZ53" s="24">
        <v>1</v>
      </c>
      <c r="NA53" s="24">
        <v>6959213</v>
      </c>
      <c r="NB53" s="24">
        <v>20</v>
      </c>
      <c r="NC53" s="24">
        <v>24617828</v>
      </c>
      <c r="ND53" s="24">
        <v>21788035</v>
      </c>
      <c r="NE53" s="24">
        <v>1980362</v>
      </c>
      <c r="NF53" s="38">
        <v>9.0899999999999995E-2</v>
      </c>
      <c r="NG53" s="24"/>
      <c r="NH53" s="24"/>
      <c r="NI53" s="24">
        <v>-1</v>
      </c>
      <c r="NJ53" s="24">
        <v>176387</v>
      </c>
      <c r="NK53" s="24">
        <v>21</v>
      </c>
      <c r="NL53" s="24">
        <v>24441441</v>
      </c>
      <c r="NM53" s="24">
        <v>21788035</v>
      </c>
      <c r="NN53" s="24">
        <v>1593658</v>
      </c>
      <c r="NO53" s="38">
        <v>7.3099999999999998E-2</v>
      </c>
      <c r="NP53" s="24">
        <v>1</v>
      </c>
      <c r="NQ53" s="24">
        <v>200000</v>
      </c>
      <c r="NR53" s="24">
        <v>4</v>
      </c>
      <c r="NS53" s="24">
        <v>3040903</v>
      </c>
      <c r="NT53" s="24">
        <v>18</v>
      </c>
      <c r="NU53" s="24">
        <v>21600538</v>
      </c>
      <c r="NV53" s="24">
        <v>21788035</v>
      </c>
      <c r="NW53" s="24">
        <v>2129320</v>
      </c>
      <c r="NX53" s="38">
        <v>9.7699999999999995E-2</v>
      </c>
      <c r="NY53" s="24">
        <v>1</v>
      </c>
      <c r="NZ53" s="24">
        <v>570000</v>
      </c>
      <c r="OA53" s="24">
        <v>5</v>
      </c>
      <c r="OB53" s="24">
        <v>6008412</v>
      </c>
      <c r="OC53" s="24">
        <v>14</v>
      </c>
      <c r="OD53" s="24">
        <v>16162126</v>
      </c>
      <c r="OE53" s="24">
        <v>21788035</v>
      </c>
      <c r="OF53" s="24">
        <v>1598084</v>
      </c>
      <c r="OG53" s="38">
        <v>7.3300000000000004E-2</v>
      </c>
      <c r="OH53" s="24"/>
      <c r="OI53" s="24"/>
      <c r="OJ53" s="24">
        <v>1</v>
      </c>
      <c r="OK53" s="24">
        <v>3542227</v>
      </c>
      <c r="OL53" s="24">
        <v>13</v>
      </c>
      <c r="OM53" s="24">
        <v>12619899</v>
      </c>
      <c r="ON53" s="24">
        <v>21788035</v>
      </c>
      <c r="OO53" s="24">
        <v>910888</v>
      </c>
      <c r="OP53" s="38">
        <v>4.1799999999999997E-2</v>
      </c>
      <c r="OQ53" s="24">
        <v>3</v>
      </c>
      <c r="OR53" s="24">
        <v>5410000</v>
      </c>
      <c r="OS53" s="24">
        <v>4</v>
      </c>
      <c r="OT53" s="24">
        <v>3451369</v>
      </c>
      <c r="OU53" s="24">
        <v>12</v>
      </c>
      <c r="OV53" s="24">
        <v>14578530</v>
      </c>
      <c r="OW53" s="24">
        <v>11432878</v>
      </c>
      <c r="OX53" s="24">
        <v>704942</v>
      </c>
      <c r="OY53" s="38">
        <v>6.1699999999999998E-2</v>
      </c>
    </row>
    <row r="54" spans="1:424" s="26" customFormat="1" x14ac:dyDescent="0.2">
      <c r="A54" s="36" t="s">
        <v>73</v>
      </c>
      <c r="B54" s="25">
        <f>SUM(B53)</f>
        <v>0</v>
      </c>
      <c r="C54" s="25">
        <f t="shared" ref="C54:I54" si="803">SUM(C53)</f>
        <v>0</v>
      </c>
      <c r="D54" s="25">
        <f t="shared" si="803"/>
        <v>0</v>
      </c>
      <c r="E54" s="25">
        <f t="shared" si="803"/>
        <v>0</v>
      </c>
      <c r="F54" s="25">
        <f t="shared" si="803"/>
        <v>0</v>
      </c>
      <c r="G54" s="25">
        <f t="shared" si="803"/>
        <v>0</v>
      </c>
      <c r="H54" s="25">
        <f t="shared" si="803"/>
        <v>0</v>
      </c>
      <c r="I54" s="25">
        <f t="shared" si="803"/>
        <v>0</v>
      </c>
      <c r="J54" s="39" t="str">
        <f>IF(SUM(J53)=0,"",SUM(J53)/COUNT(J53))</f>
        <v/>
      </c>
      <c r="K54" s="25">
        <f>SUM(K53)</f>
        <v>0</v>
      </c>
      <c r="L54" s="25">
        <f t="shared" ref="L54" si="804">SUM(L53)</f>
        <v>0</v>
      </c>
      <c r="M54" s="25">
        <f t="shared" ref="M54" si="805">SUM(M53)</f>
        <v>0</v>
      </c>
      <c r="N54" s="25">
        <f t="shared" ref="N54" si="806">SUM(N53)</f>
        <v>0</v>
      </c>
      <c r="O54" s="25">
        <f t="shared" ref="O54" si="807">SUM(O53)</f>
        <v>0</v>
      </c>
      <c r="P54" s="25">
        <f t="shared" ref="P54" si="808">SUM(P53)</f>
        <v>0</v>
      </c>
      <c r="Q54" s="25">
        <f t="shared" ref="Q54" si="809">SUM(Q53)</f>
        <v>0</v>
      </c>
      <c r="R54" s="25">
        <f t="shared" ref="R54" si="810">SUM(R53)</f>
        <v>0</v>
      </c>
      <c r="S54" s="39" t="str">
        <f>IF(SUM(S53)=0,"",SUM(S53)/COUNT(S53))</f>
        <v/>
      </c>
      <c r="T54" s="25">
        <f>SUM(T53)</f>
        <v>0</v>
      </c>
      <c r="U54" s="25">
        <f t="shared" ref="U54" si="811">SUM(U53)</f>
        <v>0</v>
      </c>
      <c r="V54" s="25">
        <f t="shared" ref="V54" si="812">SUM(V53)</f>
        <v>0</v>
      </c>
      <c r="W54" s="25">
        <f t="shared" ref="W54" si="813">SUM(W53)</f>
        <v>0</v>
      </c>
      <c r="X54" s="25">
        <f t="shared" ref="X54" si="814">SUM(X53)</f>
        <v>0</v>
      </c>
      <c r="Y54" s="25">
        <f t="shared" ref="Y54" si="815">SUM(Y53)</f>
        <v>0</v>
      </c>
      <c r="Z54" s="25">
        <f t="shared" ref="Z54" si="816">SUM(Z53)</f>
        <v>0</v>
      </c>
      <c r="AA54" s="25">
        <f t="shared" ref="AA54" si="817">SUM(AA53)</f>
        <v>0</v>
      </c>
      <c r="AB54" s="39" t="str">
        <f>IF(SUM(AB53)=0,"",SUM(AB53)/COUNT(AB53))</f>
        <v/>
      </c>
      <c r="AC54" s="25">
        <f>SUM(AC53)</f>
        <v>0</v>
      </c>
      <c r="AD54" s="25">
        <f t="shared" ref="AD54" si="818">SUM(AD53)</f>
        <v>0</v>
      </c>
      <c r="AE54" s="25">
        <f t="shared" ref="AE54" si="819">SUM(AE53)</f>
        <v>0</v>
      </c>
      <c r="AF54" s="25">
        <f t="shared" ref="AF54" si="820">SUM(AF53)</f>
        <v>0</v>
      </c>
      <c r="AG54" s="25">
        <f t="shared" ref="AG54" si="821">SUM(AG53)</f>
        <v>0</v>
      </c>
      <c r="AH54" s="25">
        <f t="shared" ref="AH54" si="822">SUM(AH53)</f>
        <v>0</v>
      </c>
      <c r="AI54" s="25">
        <f t="shared" ref="AI54" si="823">SUM(AI53)</f>
        <v>0</v>
      </c>
      <c r="AJ54" s="25">
        <f t="shared" ref="AJ54" si="824">SUM(AJ53)</f>
        <v>0</v>
      </c>
      <c r="AK54" s="39" t="str">
        <f>IF(SUM(AK53)=0,"",SUM(AK53)/COUNT(AK53))</f>
        <v/>
      </c>
      <c r="AL54" s="25">
        <f>SUM(AL53)</f>
        <v>0</v>
      </c>
      <c r="AM54" s="25">
        <f t="shared" ref="AM54" si="825">SUM(AM53)</f>
        <v>0</v>
      </c>
      <c r="AN54" s="25">
        <f t="shared" ref="AN54" si="826">SUM(AN53)</f>
        <v>0</v>
      </c>
      <c r="AO54" s="25">
        <f t="shared" ref="AO54" si="827">SUM(AO53)</f>
        <v>0</v>
      </c>
      <c r="AP54" s="25">
        <f t="shared" ref="AP54" si="828">SUM(AP53)</f>
        <v>0</v>
      </c>
      <c r="AQ54" s="25">
        <f t="shared" ref="AQ54" si="829">SUM(AQ53)</f>
        <v>0</v>
      </c>
      <c r="AR54" s="25">
        <f t="shared" ref="AR54" si="830">SUM(AR53)</f>
        <v>0</v>
      </c>
      <c r="AS54" s="25">
        <f t="shared" ref="AS54" si="831">SUM(AS53)</f>
        <v>0</v>
      </c>
      <c r="AT54" s="39" t="str">
        <f>IF(SUM(AT53)=0,"",SUM(AT53)/COUNT(AT53))</f>
        <v/>
      </c>
      <c r="AU54" s="25">
        <f>SUM(AU53)</f>
        <v>0</v>
      </c>
      <c r="AV54" s="25">
        <f t="shared" ref="AV54" si="832">SUM(AV53)</f>
        <v>0</v>
      </c>
      <c r="AW54" s="25">
        <f t="shared" ref="AW54" si="833">SUM(AW53)</f>
        <v>0</v>
      </c>
      <c r="AX54" s="25">
        <f t="shared" ref="AX54" si="834">SUM(AX53)</f>
        <v>0</v>
      </c>
      <c r="AY54" s="25">
        <f t="shared" ref="AY54" si="835">SUM(AY53)</f>
        <v>0</v>
      </c>
      <c r="AZ54" s="25">
        <f t="shared" ref="AZ54" si="836">SUM(AZ53)</f>
        <v>0</v>
      </c>
      <c r="BA54" s="25">
        <f t="shared" ref="BA54" si="837">SUM(BA53)</f>
        <v>0</v>
      </c>
      <c r="BB54" s="25">
        <f t="shared" ref="BB54" si="838">SUM(BB53)</f>
        <v>0</v>
      </c>
      <c r="BC54" s="39" t="str">
        <f>IF(SUM(BC53)=0,"",SUM(BC53)/COUNT(BC53))</f>
        <v/>
      </c>
      <c r="BD54" s="25">
        <f>SUM(BD53)</f>
        <v>0</v>
      </c>
      <c r="BE54" s="25">
        <f t="shared" ref="BE54" si="839">SUM(BE53)</f>
        <v>0</v>
      </c>
      <c r="BF54" s="25">
        <f t="shared" ref="BF54" si="840">SUM(BF53)</f>
        <v>0</v>
      </c>
      <c r="BG54" s="25">
        <f t="shared" ref="BG54" si="841">SUM(BG53)</f>
        <v>0</v>
      </c>
      <c r="BH54" s="25">
        <f t="shared" ref="BH54" si="842">SUM(BH53)</f>
        <v>0</v>
      </c>
      <c r="BI54" s="25">
        <f t="shared" ref="BI54" si="843">SUM(BI53)</f>
        <v>0</v>
      </c>
      <c r="BJ54" s="25">
        <f t="shared" ref="BJ54" si="844">SUM(BJ53)</f>
        <v>0</v>
      </c>
      <c r="BK54" s="25">
        <f t="shared" ref="BK54" si="845">SUM(BK53)</f>
        <v>0</v>
      </c>
      <c r="BL54" s="39" t="str">
        <f>IF(SUM(BL53)=0,"",SUM(BL53)/COUNT(BL53))</f>
        <v/>
      </c>
      <c r="BM54" s="25">
        <f>SUM(BM53)</f>
        <v>0</v>
      </c>
      <c r="BN54" s="25">
        <f t="shared" ref="BN54" si="846">SUM(BN53)</f>
        <v>0</v>
      </c>
      <c r="BO54" s="25">
        <f t="shared" ref="BO54" si="847">SUM(BO53)</f>
        <v>0</v>
      </c>
      <c r="BP54" s="25">
        <f t="shared" ref="BP54" si="848">SUM(BP53)</f>
        <v>0</v>
      </c>
      <c r="BQ54" s="25">
        <f t="shared" ref="BQ54" si="849">SUM(BQ53)</f>
        <v>0</v>
      </c>
      <c r="BR54" s="25">
        <f t="shared" ref="BR54" si="850">SUM(BR53)</f>
        <v>0</v>
      </c>
      <c r="BS54" s="25">
        <f t="shared" ref="BS54" si="851">SUM(BS53)</f>
        <v>0</v>
      </c>
      <c r="BT54" s="25">
        <f t="shared" ref="BT54" si="852">SUM(BT53)</f>
        <v>0</v>
      </c>
      <c r="BU54" s="39" t="str">
        <f>IF(SUM(BU53)=0,"",SUM(BU53)/COUNT(BU53))</f>
        <v/>
      </c>
      <c r="BV54" s="25">
        <f>SUM(BV53)</f>
        <v>0</v>
      </c>
      <c r="BW54" s="25">
        <f t="shared" ref="BW54" si="853">SUM(BW53)</f>
        <v>0</v>
      </c>
      <c r="BX54" s="25">
        <f t="shared" ref="BX54" si="854">SUM(BX53)</f>
        <v>0</v>
      </c>
      <c r="BY54" s="25">
        <f t="shared" ref="BY54" si="855">SUM(BY53)</f>
        <v>0</v>
      </c>
      <c r="BZ54" s="25">
        <f t="shared" ref="BZ54" si="856">SUM(BZ53)</f>
        <v>0</v>
      </c>
      <c r="CA54" s="25">
        <f t="shared" ref="CA54" si="857">SUM(CA53)</f>
        <v>0</v>
      </c>
      <c r="CB54" s="25">
        <f t="shared" ref="CB54" si="858">SUM(CB53)</f>
        <v>0</v>
      </c>
      <c r="CC54" s="25">
        <f t="shared" ref="CC54" si="859">SUM(CC53)</f>
        <v>0</v>
      </c>
      <c r="CD54" s="39" t="str">
        <f>IF(SUM(CD53)=0,"",SUM(CD53)/COUNT(CD53))</f>
        <v/>
      </c>
      <c r="CE54" s="25">
        <f>SUM(CE53)</f>
        <v>0</v>
      </c>
      <c r="CF54" s="25">
        <f t="shared" ref="CF54" si="860">SUM(CF53)</f>
        <v>0</v>
      </c>
      <c r="CG54" s="25">
        <f t="shared" ref="CG54" si="861">SUM(CG53)</f>
        <v>0</v>
      </c>
      <c r="CH54" s="25">
        <f t="shared" ref="CH54" si="862">SUM(CH53)</f>
        <v>0</v>
      </c>
      <c r="CI54" s="25">
        <f t="shared" ref="CI54" si="863">SUM(CI53)</f>
        <v>0</v>
      </c>
      <c r="CJ54" s="25">
        <f t="shared" ref="CJ54" si="864">SUM(CJ53)</f>
        <v>0</v>
      </c>
      <c r="CK54" s="25">
        <f t="shared" ref="CK54" si="865">SUM(CK53)</f>
        <v>0</v>
      </c>
      <c r="CL54" s="25">
        <f t="shared" ref="CL54" si="866">SUM(CL53)</f>
        <v>0</v>
      </c>
      <c r="CM54" s="39" t="str">
        <f>IF(SUM(CM53)=0,"",SUM(CM53)/COUNT(CM53))</f>
        <v/>
      </c>
      <c r="CN54" s="25">
        <f>SUM(CN53)</f>
        <v>0</v>
      </c>
      <c r="CO54" s="25">
        <f t="shared" ref="CO54" si="867">SUM(CO53)</f>
        <v>0</v>
      </c>
      <c r="CP54" s="25">
        <f t="shared" ref="CP54" si="868">SUM(CP53)</f>
        <v>0</v>
      </c>
      <c r="CQ54" s="25">
        <f t="shared" ref="CQ54" si="869">SUM(CQ53)</f>
        <v>0</v>
      </c>
      <c r="CR54" s="25">
        <f t="shared" ref="CR54" si="870">SUM(CR53)</f>
        <v>0</v>
      </c>
      <c r="CS54" s="25">
        <f t="shared" ref="CS54" si="871">SUM(CS53)</f>
        <v>0</v>
      </c>
      <c r="CT54" s="25">
        <f t="shared" ref="CT54" si="872">SUM(CT53)</f>
        <v>0</v>
      </c>
      <c r="CU54" s="25">
        <f t="shared" ref="CU54" si="873">SUM(CU53)</f>
        <v>0</v>
      </c>
      <c r="CV54" s="39" t="str">
        <f>IF(SUM(CV53)=0,"",SUM(CV53)/COUNT(CV53))</f>
        <v/>
      </c>
      <c r="CW54" s="25">
        <f>SUM(CW53)</f>
        <v>0</v>
      </c>
      <c r="CX54" s="25">
        <f t="shared" ref="CX54" si="874">SUM(CX53)</f>
        <v>0</v>
      </c>
      <c r="CY54" s="25">
        <f t="shared" ref="CY54" si="875">SUM(CY53)</f>
        <v>0</v>
      </c>
      <c r="CZ54" s="25">
        <f t="shared" ref="CZ54" si="876">SUM(CZ53)</f>
        <v>0</v>
      </c>
      <c r="DA54" s="25">
        <f t="shared" ref="DA54" si="877">SUM(DA53)</f>
        <v>0</v>
      </c>
      <c r="DB54" s="25">
        <f t="shared" ref="DB54" si="878">SUM(DB53)</f>
        <v>0</v>
      </c>
      <c r="DC54" s="25">
        <f t="shared" ref="DC54" si="879">SUM(DC53)</f>
        <v>0</v>
      </c>
      <c r="DD54" s="25">
        <f t="shared" ref="DD54" si="880">SUM(DD53)</f>
        <v>0</v>
      </c>
      <c r="DE54" s="39" t="str">
        <f>IF(SUM(DE53)=0,"",SUM(DE53)/COUNT(DE53))</f>
        <v/>
      </c>
      <c r="DF54" s="25">
        <f>SUM(DF53)</f>
        <v>0</v>
      </c>
      <c r="DG54" s="25">
        <f t="shared" ref="DG54" si="881">SUM(DG53)</f>
        <v>0</v>
      </c>
      <c r="DH54" s="25">
        <f t="shared" ref="DH54" si="882">SUM(DH53)</f>
        <v>0</v>
      </c>
      <c r="DI54" s="25">
        <f t="shared" ref="DI54" si="883">SUM(DI53)</f>
        <v>0</v>
      </c>
      <c r="DJ54" s="25">
        <f t="shared" ref="DJ54" si="884">SUM(DJ53)</f>
        <v>0</v>
      </c>
      <c r="DK54" s="25">
        <f t="shared" ref="DK54" si="885">SUM(DK53)</f>
        <v>0</v>
      </c>
      <c r="DL54" s="25">
        <f t="shared" ref="DL54" si="886">SUM(DL53)</f>
        <v>0</v>
      </c>
      <c r="DM54" s="25">
        <f t="shared" ref="DM54" si="887">SUM(DM53)</f>
        <v>0</v>
      </c>
      <c r="DN54" s="39" t="str">
        <f>IF(SUM(DN53)=0,"",SUM(DN53)/COUNT(DN53))</f>
        <v/>
      </c>
      <c r="DO54" s="25">
        <f>SUM(DO53)</f>
        <v>0</v>
      </c>
      <c r="DP54" s="25">
        <f t="shared" ref="DP54" si="888">SUM(DP53)</f>
        <v>0</v>
      </c>
      <c r="DQ54" s="25">
        <f t="shared" ref="DQ54" si="889">SUM(DQ53)</f>
        <v>0</v>
      </c>
      <c r="DR54" s="25">
        <f t="shared" ref="DR54" si="890">SUM(DR53)</f>
        <v>0</v>
      </c>
      <c r="DS54" s="25">
        <f t="shared" ref="DS54" si="891">SUM(DS53)</f>
        <v>0</v>
      </c>
      <c r="DT54" s="25">
        <f t="shared" ref="DT54" si="892">SUM(DT53)</f>
        <v>0</v>
      </c>
      <c r="DU54" s="25">
        <f t="shared" ref="DU54" si="893">SUM(DU53)</f>
        <v>0</v>
      </c>
      <c r="DV54" s="25">
        <f t="shared" ref="DV54" si="894">SUM(DV53)</f>
        <v>0</v>
      </c>
      <c r="DW54" s="39" t="str">
        <f>IF(SUM(DW53)=0,"",SUM(DW53)/COUNT(DW53))</f>
        <v/>
      </c>
      <c r="DX54" s="25">
        <f>SUM(DX53)</f>
        <v>0</v>
      </c>
      <c r="DY54" s="25">
        <f t="shared" ref="DY54" si="895">SUM(DY53)</f>
        <v>0</v>
      </c>
      <c r="DZ54" s="25">
        <f t="shared" ref="DZ54" si="896">SUM(DZ53)</f>
        <v>0</v>
      </c>
      <c r="EA54" s="25">
        <f t="shared" ref="EA54" si="897">SUM(EA53)</f>
        <v>0</v>
      </c>
      <c r="EB54" s="25">
        <f t="shared" ref="EB54" si="898">SUM(EB53)</f>
        <v>0</v>
      </c>
      <c r="EC54" s="25">
        <f t="shared" ref="EC54" si="899">SUM(EC53)</f>
        <v>0</v>
      </c>
      <c r="ED54" s="25">
        <f t="shared" ref="ED54" si="900">SUM(ED53)</f>
        <v>0</v>
      </c>
      <c r="EE54" s="25">
        <f t="shared" ref="EE54" si="901">SUM(EE53)</f>
        <v>0</v>
      </c>
      <c r="EF54" s="39" t="str">
        <f>IF(SUM(EF53)=0,"",SUM(EF53)/COUNT(EF53))</f>
        <v/>
      </c>
      <c r="EG54" s="25">
        <f>SUM(EG53)</f>
        <v>0</v>
      </c>
      <c r="EH54" s="25">
        <f t="shared" ref="EH54" si="902">SUM(EH53)</f>
        <v>0</v>
      </c>
      <c r="EI54" s="25">
        <f t="shared" ref="EI54" si="903">SUM(EI53)</f>
        <v>0</v>
      </c>
      <c r="EJ54" s="25">
        <f t="shared" ref="EJ54" si="904">SUM(EJ53)</f>
        <v>0</v>
      </c>
      <c r="EK54" s="25">
        <f t="shared" ref="EK54" si="905">SUM(EK53)</f>
        <v>0</v>
      </c>
      <c r="EL54" s="25">
        <f t="shared" ref="EL54" si="906">SUM(EL53)</f>
        <v>0</v>
      </c>
      <c r="EM54" s="25">
        <f t="shared" ref="EM54" si="907">SUM(EM53)</f>
        <v>0</v>
      </c>
      <c r="EN54" s="25">
        <f t="shared" ref="EN54" si="908">SUM(EN53)</f>
        <v>0</v>
      </c>
      <c r="EO54" s="39" t="str">
        <f>IF(SUM(EO53)=0,"",SUM(EO53)/COUNT(EO53))</f>
        <v/>
      </c>
      <c r="EP54" s="25">
        <f>SUM(EP53)</f>
        <v>0</v>
      </c>
      <c r="EQ54" s="25">
        <f t="shared" ref="EQ54" si="909">SUM(EQ53)</f>
        <v>0</v>
      </c>
      <c r="ER54" s="25">
        <f t="shared" ref="ER54" si="910">SUM(ER53)</f>
        <v>0</v>
      </c>
      <c r="ES54" s="25">
        <f t="shared" ref="ES54" si="911">SUM(ES53)</f>
        <v>0</v>
      </c>
      <c r="ET54" s="25">
        <f t="shared" ref="ET54" si="912">SUM(ET53)</f>
        <v>0</v>
      </c>
      <c r="EU54" s="25">
        <f t="shared" ref="EU54" si="913">SUM(EU53)</f>
        <v>0</v>
      </c>
      <c r="EV54" s="25">
        <f t="shared" ref="EV54" si="914">SUM(EV53)</f>
        <v>0</v>
      </c>
      <c r="EW54" s="25">
        <f t="shared" ref="EW54" si="915">SUM(EW53)</f>
        <v>0</v>
      </c>
      <c r="EX54" s="39" t="str">
        <f>IF(SUM(EX53)=0,"",SUM(EX53)/COUNT(EX53))</f>
        <v/>
      </c>
      <c r="EY54" s="25">
        <f>SUM(EY53)</f>
        <v>0</v>
      </c>
      <c r="EZ54" s="25">
        <f t="shared" ref="EZ54" si="916">SUM(EZ53)</f>
        <v>0</v>
      </c>
      <c r="FA54" s="25">
        <f t="shared" ref="FA54" si="917">SUM(FA53)</f>
        <v>0</v>
      </c>
      <c r="FB54" s="25">
        <f t="shared" ref="FB54" si="918">SUM(FB53)</f>
        <v>0</v>
      </c>
      <c r="FC54" s="25">
        <f t="shared" ref="FC54" si="919">SUM(FC53)</f>
        <v>0</v>
      </c>
      <c r="FD54" s="25">
        <f t="shared" ref="FD54" si="920">SUM(FD53)</f>
        <v>0</v>
      </c>
      <c r="FE54" s="25">
        <f t="shared" ref="FE54" si="921">SUM(FE53)</f>
        <v>0</v>
      </c>
      <c r="FF54" s="25">
        <f t="shared" ref="FF54" si="922">SUM(FF53)</f>
        <v>0</v>
      </c>
      <c r="FG54" s="39" t="str">
        <f>IF(SUM(FG53)=0,"",SUM(FG53)/COUNT(FG53))</f>
        <v/>
      </c>
      <c r="FH54" s="25">
        <f>SUM(FH53)</f>
        <v>0</v>
      </c>
      <c r="FI54" s="25">
        <f t="shared" ref="FI54" si="923">SUM(FI53)</f>
        <v>0</v>
      </c>
      <c r="FJ54" s="25">
        <f t="shared" ref="FJ54" si="924">SUM(FJ53)</f>
        <v>0</v>
      </c>
      <c r="FK54" s="25">
        <f t="shared" ref="FK54" si="925">SUM(FK53)</f>
        <v>0</v>
      </c>
      <c r="FL54" s="25">
        <f t="shared" ref="FL54" si="926">SUM(FL53)</f>
        <v>0</v>
      </c>
      <c r="FM54" s="25">
        <f t="shared" ref="FM54" si="927">SUM(FM53)</f>
        <v>0</v>
      </c>
      <c r="FN54" s="25">
        <f t="shared" ref="FN54" si="928">SUM(FN53)</f>
        <v>0</v>
      </c>
      <c r="FO54" s="25">
        <f t="shared" ref="FO54" si="929">SUM(FO53)</f>
        <v>0</v>
      </c>
      <c r="FP54" s="39" t="str">
        <f>IF(SUM(FP53)=0,"",SUM(FP53)/COUNT(FP53))</f>
        <v/>
      </c>
      <c r="FQ54" s="25">
        <f>SUM(FQ53)</f>
        <v>0</v>
      </c>
      <c r="FR54" s="25">
        <f t="shared" ref="FR54" si="930">SUM(FR53)</f>
        <v>0</v>
      </c>
      <c r="FS54" s="25">
        <f t="shared" ref="FS54" si="931">SUM(FS53)</f>
        <v>0</v>
      </c>
      <c r="FT54" s="25">
        <f t="shared" ref="FT54" si="932">SUM(FT53)</f>
        <v>0</v>
      </c>
      <c r="FU54" s="25">
        <f t="shared" ref="FU54" si="933">SUM(FU53)</f>
        <v>0</v>
      </c>
      <c r="FV54" s="25">
        <f t="shared" ref="FV54" si="934">SUM(FV53)</f>
        <v>0</v>
      </c>
      <c r="FW54" s="25">
        <f t="shared" ref="FW54" si="935">SUM(FW53)</f>
        <v>0</v>
      </c>
      <c r="FX54" s="25">
        <f t="shared" ref="FX54" si="936">SUM(FX53)</f>
        <v>0</v>
      </c>
      <c r="FY54" s="39" t="str">
        <f>IF(SUM(FY53)=0,"",SUM(FY53)/COUNT(FY53))</f>
        <v/>
      </c>
      <c r="FZ54" s="25">
        <f>SUM(FZ53)</f>
        <v>0</v>
      </c>
      <c r="GA54" s="25">
        <f t="shared" ref="GA54" si="937">SUM(GA53)</f>
        <v>0</v>
      </c>
      <c r="GB54" s="25">
        <f t="shared" ref="GB54" si="938">SUM(GB53)</f>
        <v>0</v>
      </c>
      <c r="GC54" s="25">
        <f t="shared" ref="GC54" si="939">SUM(GC53)</f>
        <v>0</v>
      </c>
      <c r="GD54" s="25">
        <f t="shared" ref="GD54" si="940">SUM(GD53)</f>
        <v>0</v>
      </c>
      <c r="GE54" s="25">
        <f t="shared" ref="GE54" si="941">SUM(GE53)</f>
        <v>0</v>
      </c>
      <c r="GF54" s="25">
        <f t="shared" ref="GF54" si="942">SUM(GF53)</f>
        <v>0</v>
      </c>
      <c r="GG54" s="25">
        <f t="shared" ref="GG54" si="943">SUM(GG53)</f>
        <v>0</v>
      </c>
      <c r="GH54" s="39" t="str">
        <f>IF(SUM(GH53)=0,"",SUM(GH53)/COUNT(GH53))</f>
        <v/>
      </c>
      <c r="GI54" s="25">
        <f>SUM(GI53)</f>
        <v>0</v>
      </c>
      <c r="GJ54" s="25">
        <f t="shared" ref="GJ54" si="944">SUM(GJ53)</f>
        <v>0</v>
      </c>
      <c r="GK54" s="25">
        <f t="shared" ref="GK54" si="945">SUM(GK53)</f>
        <v>0</v>
      </c>
      <c r="GL54" s="25">
        <f t="shared" ref="GL54" si="946">SUM(GL53)</f>
        <v>0</v>
      </c>
      <c r="GM54" s="25">
        <f t="shared" ref="GM54" si="947">SUM(GM53)</f>
        <v>0</v>
      </c>
      <c r="GN54" s="25">
        <f t="shared" ref="GN54" si="948">SUM(GN53)</f>
        <v>0</v>
      </c>
      <c r="GO54" s="25">
        <f t="shared" ref="GO54" si="949">SUM(GO53)</f>
        <v>0</v>
      </c>
      <c r="GP54" s="25">
        <f t="shared" ref="GP54" si="950">SUM(GP53)</f>
        <v>0</v>
      </c>
      <c r="GQ54" s="39" t="str">
        <f>IF(SUM(GQ53)=0,"",SUM(GQ53)/COUNT(GQ53))</f>
        <v/>
      </c>
      <c r="GR54" s="25">
        <f>SUM(GR53)</f>
        <v>0</v>
      </c>
      <c r="GS54" s="25">
        <f t="shared" ref="GS54" si="951">SUM(GS53)</f>
        <v>0</v>
      </c>
      <c r="GT54" s="25">
        <f t="shared" ref="GT54" si="952">SUM(GT53)</f>
        <v>0</v>
      </c>
      <c r="GU54" s="25">
        <f t="shared" ref="GU54" si="953">SUM(GU53)</f>
        <v>0</v>
      </c>
      <c r="GV54" s="25">
        <f t="shared" ref="GV54" si="954">SUM(GV53)</f>
        <v>0</v>
      </c>
      <c r="GW54" s="25">
        <f t="shared" ref="GW54" si="955">SUM(GW53)</f>
        <v>0</v>
      </c>
      <c r="GX54" s="25">
        <f t="shared" ref="GX54" si="956">SUM(GX53)</f>
        <v>0</v>
      </c>
      <c r="GY54" s="25">
        <f t="shared" ref="GY54" si="957">SUM(GY53)</f>
        <v>0</v>
      </c>
      <c r="GZ54" s="39" t="str">
        <f>IF(SUM(GZ53)=0,"",SUM(GZ53)/COUNT(GZ53))</f>
        <v/>
      </c>
      <c r="HA54" s="25">
        <f>SUM(HA53)</f>
        <v>0</v>
      </c>
      <c r="HB54" s="25">
        <f t="shared" ref="HB54" si="958">SUM(HB53)</f>
        <v>0</v>
      </c>
      <c r="HC54" s="25">
        <f t="shared" ref="HC54" si="959">SUM(HC53)</f>
        <v>0</v>
      </c>
      <c r="HD54" s="25">
        <f t="shared" ref="HD54" si="960">SUM(HD53)</f>
        <v>0</v>
      </c>
      <c r="HE54" s="25">
        <f t="shared" ref="HE54" si="961">SUM(HE53)</f>
        <v>0</v>
      </c>
      <c r="HF54" s="25">
        <f t="shared" ref="HF54" si="962">SUM(HF53)</f>
        <v>0</v>
      </c>
      <c r="HG54" s="25">
        <f t="shared" ref="HG54" si="963">SUM(HG53)</f>
        <v>0</v>
      </c>
      <c r="HH54" s="25">
        <f t="shared" ref="HH54" si="964">SUM(HH53)</f>
        <v>0</v>
      </c>
      <c r="HI54" s="39" t="str">
        <f>IF(SUM(HI53)=0,"",SUM(HI53)/COUNT(HI53))</f>
        <v/>
      </c>
      <c r="HJ54" s="25">
        <f>SUM(HJ53)</f>
        <v>0</v>
      </c>
      <c r="HK54" s="25">
        <f t="shared" ref="HK54:HQ54" si="965">SUM(HK53)</f>
        <v>0</v>
      </c>
      <c r="HL54" s="25">
        <f t="shared" si="965"/>
        <v>0</v>
      </c>
      <c r="HM54" s="25">
        <f t="shared" si="965"/>
        <v>0</v>
      </c>
      <c r="HN54" s="25">
        <f t="shared" si="965"/>
        <v>0</v>
      </c>
      <c r="HO54" s="25">
        <f t="shared" si="965"/>
        <v>0</v>
      </c>
      <c r="HP54" s="25">
        <f t="shared" si="965"/>
        <v>0</v>
      </c>
      <c r="HQ54" s="25">
        <f t="shared" si="965"/>
        <v>0</v>
      </c>
      <c r="HR54" s="39" t="str">
        <f>IF(SUM(HR53)=0,"",SUM(HR53)/COUNT(HR53))</f>
        <v/>
      </c>
      <c r="HS54" s="25">
        <f>SUM(HS53)</f>
        <v>0</v>
      </c>
      <c r="HT54" s="25">
        <f t="shared" ref="HT54:HZ54" si="966">SUM(HT53)</f>
        <v>0</v>
      </c>
      <c r="HU54" s="25">
        <f t="shared" si="966"/>
        <v>0</v>
      </c>
      <c r="HV54" s="25">
        <f t="shared" si="966"/>
        <v>0</v>
      </c>
      <c r="HW54" s="25">
        <f t="shared" si="966"/>
        <v>0</v>
      </c>
      <c r="HX54" s="25">
        <f t="shared" si="966"/>
        <v>0</v>
      </c>
      <c r="HY54" s="25">
        <f t="shared" si="966"/>
        <v>0</v>
      </c>
      <c r="HZ54" s="25">
        <f t="shared" si="966"/>
        <v>0</v>
      </c>
      <c r="IA54" s="39" t="str">
        <f>IF(SUM(IA53)=0,"",SUM(IA53)/COUNT(IA53))</f>
        <v/>
      </c>
      <c r="IB54" s="25">
        <f>SUM(IB53)</f>
        <v>0</v>
      </c>
      <c r="IC54" s="25">
        <f t="shared" ref="IC54:II54" si="967">SUM(IC53)</f>
        <v>0</v>
      </c>
      <c r="ID54" s="25">
        <f t="shared" si="967"/>
        <v>0</v>
      </c>
      <c r="IE54" s="25">
        <f t="shared" si="967"/>
        <v>0</v>
      </c>
      <c r="IF54" s="25">
        <f t="shared" si="967"/>
        <v>0</v>
      </c>
      <c r="IG54" s="25">
        <f t="shared" si="967"/>
        <v>0</v>
      </c>
      <c r="IH54" s="25">
        <f t="shared" si="967"/>
        <v>0</v>
      </c>
      <c r="II54" s="25">
        <f t="shared" si="967"/>
        <v>0</v>
      </c>
      <c r="IJ54" s="39" t="str">
        <f>IF(SUM(IJ53)=0,"",SUM(IJ53)/COUNT(IJ53))</f>
        <v/>
      </c>
      <c r="IK54" s="25">
        <f>SUM(IK53)</f>
        <v>0</v>
      </c>
      <c r="IL54" s="25">
        <f t="shared" ref="IL54:IR54" si="968">SUM(IL53)</f>
        <v>0</v>
      </c>
      <c r="IM54" s="25">
        <f t="shared" si="968"/>
        <v>0</v>
      </c>
      <c r="IN54" s="25">
        <f t="shared" si="968"/>
        <v>0</v>
      </c>
      <c r="IO54" s="25">
        <f t="shared" si="968"/>
        <v>0</v>
      </c>
      <c r="IP54" s="25">
        <f t="shared" si="968"/>
        <v>0</v>
      </c>
      <c r="IQ54" s="25">
        <f t="shared" si="968"/>
        <v>0</v>
      </c>
      <c r="IR54" s="25">
        <f t="shared" si="968"/>
        <v>0</v>
      </c>
      <c r="IS54" s="39" t="str">
        <f>IF(SUM(IS53)=0,"",SUM(IS53)/COUNT(IS53))</f>
        <v/>
      </c>
      <c r="IT54" s="25">
        <f>SUM(IT53)</f>
        <v>0</v>
      </c>
      <c r="IU54" s="25">
        <f t="shared" ref="IU54:JA54" si="969">SUM(IU53)</f>
        <v>0</v>
      </c>
      <c r="IV54" s="25">
        <f t="shared" si="969"/>
        <v>0</v>
      </c>
      <c r="IW54" s="25">
        <f t="shared" si="969"/>
        <v>0</v>
      </c>
      <c r="IX54" s="25">
        <f t="shared" si="969"/>
        <v>0</v>
      </c>
      <c r="IY54" s="25">
        <f t="shared" si="969"/>
        <v>0</v>
      </c>
      <c r="IZ54" s="25">
        <f t="shared" si="969"/>
        <v>0</v>
      </c>
      <c r="JA54" s="25">
        <f t="shared" si="969"/>
        <v>0</v>
      </c>
      <c r="JB54" s="39" t="str">
        <f>IF(SUM(JB53)=0,"",SUM(JB53)/COUNT(JB53))</f>
        <v/>
      </c>
      <c r="JC54" s="25">
        <f>SUM(JC53)</f>
        <v>0</v>
      </c>
      <c r="JD54" s="25">
        <f t="shared" ref="JD54:JJ54" si="970">SUM(JD53)</f>
        <v>0</v>
      </c>
      <c r="JE54" s="25">
        <f t="shared" si="970"/>
        <v>0</v>
      </c>
      <c r="JF54" s="25">
        <f t="shared" si="970"/>
        <v>0</v>
      </c>
      <c r="JG54" s="25">
        <f t="shared" si="970"/>
        <v>0</v>
      </c>
      <c r="JH54" s="25">
        <f t="shared" si="970"/>
        <v>0</v>
      </c>
      <c r="JI54" s="25">
        <f t="shared" si="970"/>
        <v>0</v>
      </c>
      <c r="JJ54" s="25">
        <f t="shared" si="970"/>
        <v>0</v>
      </c>
      <c r="JK54" s="39" t="str">
        <f>IF(SUM(JK53)=0,"",SUM(JK53)/COUNT(JK53))</f>
        <v/>
      </c>
      <c r="JL54" s="25">
        <f>SUM(JL53)</f>
        <v>0</v>
      </c>
      <c r="JM54" s="25">
        <f t="shared" ref="JM54:JS54" si="971">SUM(JM53)</f>
        <v>0</v>
      </c>
      <c r="JN54" s="25">
        <f t="shared" si="971"/>
        <v>0</v>
      </c>
      <c r="JO54" s="25">
        <f t="shared" si="971"/>
        <v>0</v>
      </c>
      <c r="JP54" s="25">
        <f t="shared" si="971"/>
        <v>0</v>
      </c>
      <c r="JQ54" s="25">
        <f t="shared" si="971"/>
        <v>0</v>
      </c>
      <c r="JR54" s="25">
        <f t="shared" si="971"/>
        <v>0</v>
      </c>
      <c r="JS54" s="25">
        <f t="shared" si="971"/>
        <v>0</v>
      </c>
      <c r="JT54" s="39" t="str">
        <f>IF(SUM(JT53)=0,"",SUM(JT53)/COUNT(JT53))</f>
        <v/>
      </c>
      <c r="JU54" s="25">
        <f>SUM(JU53)</f>
        <v>0</v>
      </c>
      <c r="JV54" s="25">
        <f t="shared" ref="JV54:KB54" si="972">SUM(JV53)</f>
        <v>0</v>
      </c>
      <c r="JW54" s="25">
        <f t="shared" si="972"/>
        <v>0</v>
      </c>
      <c r="JX54" s="25">
        <f t="shared" si="972"/>
        <v>0</v>
      </c>
      <c r="JY54" s="25">
        <f t="shared" si="972"/>
        <v>0</v>
      </c>
      <c r="JZ54" s="25">
        <f t="shared" si="972"/>
        <v>0</v>
      </c>
      <c r="KA54" s="25">
        <f t="shared" si="972"/>
        <v>0</v>
      </c>
      <c r="KB54" s="25">
        <f t="shared" si="972"/>
        <v>0</v>
      </c>
      <c r="KC54" s="39" t="str">
        <f>IF(SUM(KC53)=0,"",SUM(KC53)/COUNT(KC53))</f>
        <v/>
      </c>
      <c r="KD54" s="25">
        <f>SUM(KD53)</f>
        <v>0</v>
      </c>
      <c r="KE54" s="25">
        <f t="shared" ref="KE54:KK54" si="973">SUM(KE53)</f>
        <v>0</v>
      </c>
      <c r="KF54" s="25">
        <f t="shared" si="973"/>
        <v>0</v>
      </c>
      <c r="KG54" s="25">
        <f t="shared" si="973"/>
        <v>0</v>
      </c>
      <c r="KH54" s="25">
        <f t="shared" si="973"/>
        <v>0</v>
      </c>
      <c r="KI54" s="25">
        <f t="shared" si="973"/>
        <v>0</v>
      </c>
      <c r="KJ54" s="25">
        <f t="shared" si="973"/>
        <v>0</v>
      </c>
      <c r="KK54" s="25">
        <f t="shared" si="973"/>
        <v>0</v>
      </c>
      <c r="KL54" s="39" t="str">
        <f>IF(SUM(KL53)=0,"",SUM(KL53)/COUNT(KL53))</f>
        <v/>
      </c>
      <c r="KM54" s="25">
        <f>SUM(KM53)</f>
        <v>0</v>
      </c>
      <c r="KN54" s="25">
        <f t="shared" ref="KN54:KT54" si="974">SUM(KN53)</f>
        <v>0</v>
      </c>
      <c r="KO54" s="25">
        <f t="shared" si="974"/>
        <v>0</v>
      </c>
      <c r="KP54" s="25">
        <f t="shared" si="974"/>
        <v>0</v>
      </c>
      <c r="KQ54" s="25">
        <f t="shared" si="974"/>
        <v>0</v>
      </c>
      <c r="KR54" s="25">
        <f t="shared" si="974"/>
        <v>0</v>
      </c>
      <c r="KS54" s="25">
        <f t="shared" si="974"/>
        <v>0</v>
      </c>
      <c r="KT54" s="25">
        <f t="shared" si="974"/>
        <v>0</v>
      </c>
      <c r="KU54" s="39" t="str">
        <f>IF(SUM(KU53)=0,"",SUM(KU53)/COUNT(KU53))</f>
        <v/>
      </c>
      <c r="KV54" s="25">
        <f>SUM(KV53)</f>
        <v>0</v>
      </c>
      <c r="KW54" s="25">
        <f t="shared" ref="KW54:LC54" si="975">SUM(KW53)</f>
        <v>0</v>
      </c>
      <c r="KX54" s="25">
        <f t="shared" si="975"/>
        <v>0</v>
      </c>
      <c r="KY54" s="25">
        <f t="shared" si="975"/>
        <v>0</v>
      </c>
      <c r="KZ54" s="25">
        <f t="shared" si="975"/>
        <v>0</v>
      </c>
      <c r="LA54" s="25">
        <f t="shared" si="975"/>
        <v>0</v>
      </c>
      <c r="LB54" s="25">
        <f t="shared" si="975"/>
        <v>0</v>
      </c>
      <c r="LC54" s="25">
        <f t="shared" si="975"/>
        <v>0</v>
      </c>
      <c r="LD54" s="39" t="str">
        <f>IF(SUM(LD53)=0,"",SUM(LD53)/COUNT(LD53))</f>
        <v/>
      </c>
      <c r="LE54" s="25">
        <f>SUM(LE53)</f>
        <v>8</v>
      </c>
      <c r="LF54" s="25">
        <f t="shared" ref="LF54:LL54" si="976">SUM(LF53)</f>
        <v>10410000</v>
      </c>
      <c r="LG54" s="25">
        <f t="shared" si="976"/>
        <v>0</v>
      </c>
      <c r="LH54" s="25">
        <f t="shared" si="976"/>
        <v>108898</v>
      </c>
      <c r="LI54" s="25">
        <f t="shared" si="976"/>
        <v>8</v>
      </c>
      <c r="LJ54" s="25">
        <f t="shared" si="976"/>
        <v>10301102</v>
      </c>
      <c r="LK54" s="25">
        <f t="shared" si="976"/>
        <v>1946366</v>
      </c>
      <c r="LL54" s="25">
        <f t="shared" si="976"/>
        <v>55683</v>
      </c>
      <c r="LM54" s="39">
        <f>IF(SUM(LM53)=0,"",SUM(LM53)/COUNT(LM53))</f>
        <v>2.86E-2</v>
      </c>
      <c r="LN54" s="25">
        <f>SUM(LN53)</f>
        <v>8</v>
      </c>
      <c r="LO54" s="25">
        <f t="shared" ref="LO54:LU54" si="977">SUM(LO53)</f>
        <v>12670000</v>
      </c>
      <c r="LP54" s="25">
        <f t="shared" si="977"/>
        <v>1</v>
      </c>
      <c r="LQ54" s="25">
        <f t="shared" si="977"/>
        <v>3550417</v>
      </c>
      <c r="LR54" s="25">
        <f t="shared" si="977"/>
        <v>15</v>
      </c>
      <c r="LS54" s="25">
        <f t="shared" si="977"/>
        <v>19420685</v>
      </c>
      <c r="LT54" s="25">
        <f t="shared" si="977"/>
        <v>13483675</v>
      </c>
      <c r="LU54" s="25">
        <f t="shared" si="977"/>
        <v>1062847</v>
      </c>
      <c r="LV54" s="39">
        <f>IF(SUM(LV53)=0,"",SUM(LV53)/COUNT(LV53))</f>
        <v>7.8799999999999995E-2</v>
      </c>
      <c r="LW54" s="25">
        <f>SUM(LW53)</f>
        <v>7</v>
      </c>
      <c r="LX54" s="25">
        <f t="shared" ref="LX54:MD54" si="978">SUM(LX53)</f>
        <v>11440416</v>
      </c>
      <c r="LY54" s="25">
        <f t="shared" si="978"/>
        <v>3</v>
      </c>
      <c r="LZ54" s="25">
        <f t="shared" si="978"/>
        <v>1428230</v>
      </c>
      <c r="MA54" s="25">
        <f t="shared" si="978"/>
        <v>19</v>
      </c>
      <c r="MB54" s="25">
        <f t="shared" si="978"/>
        <v>29432871</v>
      </c>
      <c r="MC54" s="25">
        <f t="shared" si="978"/>
        <v>21788035</v>
      </c>
      <c r="MD54" s="25">
        <f t="shared" si="978"/>
        <v>1559982</v>
      </c>
      <c r="ME54" s="39">
        <f>IF(SUM(ME53)=0,"",SUM(ME53)/COUNT(ME53))</f>
        <v>7.1599999999999997E-2</v>
      </c>
      <c r="MF54" s="25">
        <f>SUM(MF53)</f>
        <v>3</v>
      </c>
      <c r="MG54" s="25">
        <f t="shared" ref="MG54:MM54" si="979">SUM(MG53)</f>
        <v>1800000</v>
      </c>
      <c r="MH54" s="25">
        <f t="shared" si="979"/>
        <v>3</v>
      </c>
      <c r="MI54" s="25">
        <f t="shared" si="979"/>
        <v>5936819</v>
      </c>
      <c r="MJ54" s="25">
        <f t="shared" si="979"/>
        <v>19</v>
      </c>
      <c r="MK54" s="25">
        <f t="shared" si="979"/>
        <v>25296052</v>
      </c>
      <c r="ML54" s="25">
        <f t="shared" si="979"/>
        <v>21788035</v>
      </c>
      <c r="MM54" s="25">
        <f t="shared" si="979"/>
        <v>1559982</v>
      </c>
      <c r="MN54" s="39">
        <f>IF(SUM(MN53)=0,"",SUM(MN53)/COUNT(MN53))</f>
        <v>7.1599999999999997E-2</v>
      </c>
      <c r="MO54" s="25">
        <f>SUM(MO53)</f>
        <v>1</v>
      </c>
      <c r="MP54" s="25">
        <f t="shared" ref="MP54:MV54" si="980">SUM(MP53)</f>
        <v>992992</v>
      </c>
      <c r="MQ54" s="25">
        <f t="shared" si="980"/>
        <v>1</v>
      </c>
      <c r="MR54" s="25">
        <f t="shared" si="980"/>
        <v>-917997</v>
      </c>
      <c r="MS54" s="25">
        <f t="shared" si="980"/>
        <v>19</v>
      </c>
      <c r="MT54" s="25">
        <f t="shared" si="980"/>
        <v>27207041</v>
      </c>
      <c r="MU54" s="25">
        <f t="shared" si="980"/>
        <v>21788035</v>
      </c>
      <c r="MV54" s="25">
        <f t="shared" si="980"/>
        <v>1652295</v>
      </c>
      <c r="MW54" s="39">
        <f>IF(SUM(MW53)=0,"",SUM(MW53)/COUNT(MW53))</f>
        <v>7.5800000000000006E-2</v>
      </c>
      <c r="MX54" s="25">
        <f>SUM(MX53)</f>
        <v>2</v>
      </c>
      <c r="MY54" s="25">
        <f t="shared" ref="MY54:NE54" si="981">SUM(MY53)</f>
        <v>4370000</v>
      </c>
      <c r="MZ54" s="25">
        <f t="shared" si="981"/>
        <v>1</v>
      </c>
      <c r="NA54" s="25">
        <f t="shared" si="981"/>
        <v>6959213</v>
      </c>
      <c r="NB54" s="25">
        <f t="shared" si="981"/>
        <v>20</v>
      </c>
      <c r="NC54" s="25">
        <f t="shared" si="981"/>
        <v>24617828</v>
      </c>
      <c r="ND54" s="25">
        <f t="shared" si="981"/>
        <v>21788035</v>
      </c>
      <c r="NE54" s="25">
        <f t="shared" si="981"/>
        <v>1980362</v>
      </c>
      <c r="NF54" s="39">
        <f>IF(SUM(NF53)=0,"",SUM(NF53)/COUNT(NF53))</f>
        <v>9.0899999999999995E-2</v>
      </c>
      <c r="NG54" s="25">
        <f>SUM(NG53)</f>
        <v>0</v>
      </c>
      <c r="NH54" s="25">
        <f t="shared" ref="NH54:NN54" si="982">SUM(NH53)</f>
        <v>0</v>
      </c>
      <c r="NI54" s="25">
        <f t="shared" si="982"/>
        <v>-1</v>
      </c>
      <c r="NJ54" s="25">
        <f t="shared" si="982"/>
        <v>176387</v>
      </c>
      <c r="NK54" s="25">
        <f t="shared" si="982"/>
        <v>21</v>
      </c>
      <c r="NL54" s="25">
        <f t="shared" si="982"/>
        <v>24441441</v>
      </c>
      <c r="NM54" s="25">
        <f t="shared" si="982"/>
        <v>21788035</v>
      </c>
      <c r="NN54" s="25">
        <f t="shared" si="982"/>
        <v>1593658</v>
      </c>
      <c r="NO54" s="39">
        <f>IF(SUM(NO53)=0,"",SUM(NO53)/COUNT(NO53))</f>
        <v>7.3099999999999998E-2</v>
      </c>
      <c r="NP54" s="25">
        <f>SUM(NP53)</f>
        <v>1</v>
      </c>
      <c r="NQ54" s="25">
        <f t="shared" ref="NQ54:NW54" si="983">SUM(NQ53)</f>
        <v>200000</v>
      </c>
      <c r="NR54" s="25">
        <f t="shared" si="983"/>
        <v>4</v>
      </c>
      <c r="NS54" s="25">
        <f t="shared" si="983"/>
        <v>3040903</v>
      </c>
      <c r="NT54" s="25">
        <f t="shared" si="983"/>
        <v>18</v>
      </c>
      <c r="NU54" s="25">
        <f t="shared" si="983"/>
        <v>21600538</v>
      </c>
      <c r="NV54" s="25">
        <f t="shared" si="983"/>
        <v>21788035</v>
      </c>
      <c r="NW54" s="25">
        <f t="shared" si="983"/>
        <v>2129320</v>
      </c>
      <c r="NX54" s="39">
        <f>IF(SUM(NX53)=0,"",SUM(NX53)/COUNT(NX53))</f>
        <v>9.7699999999999995E-2</v>
      </c>
      <c r="NY54" s="25">
        <f>SUM(NY53)</f>
        <v>1</v>
      </c>
      <c r="NZ54" s="25">
        <f t="shared" ref="NZ54:OF54" si="984">SUM(NZ53)</f>
        <v>570000</v>
      </c>
      <c r="OA54" s="25">
        <f t="shared" si="984"/>
        <v>5</v>
      </c>
      <c r="OB54" s="25">
        <f t="shared" si="984"/>
        <v>6008412</v>
      </c>
      <c r="OC54" s="25">
        <f t="shared" si="984"/>
        <v>14</v>
      </c>
      <c r="OD54" s="25">
        <f t="shared" si="984"/>
        <v>16162126</v>
      </c>
      <c r="OE54" s="25">
        <f t="shared" si="984"/>
        <v>21788035</v>
      </c>
      <c r="OF54" s="25">
        <f t="shared" si="984"/>
        <v>1598084</v>
      </c>
      <c r="OG54" s="39">
        <f>IF(SUM(OG53)=0,"",SUM(OG53)/COUNT(OG53))</f>
        <v>7.3300000000000004E-2</v>
      </c>
      <c r="OH54" s="25">
        <f>SUM(OH53)</f>
        <v>0</v>
      </c>
      <c r="OI54" s="25">
        <f t="shared" ref="OI54:OO54" si="985">SUM(OI53)</f>
        <v>0</v>
      </c>
      <c r="OJ54" s="25">
        <f t="shared" si="985"/>
        <v>1</v>
      </c>
      <c r="OK54" s="25">
        <f t="shared" si="985"/>
        <v>3542227</v>
      </c>
      <c r="OL54" s="25">
        <f t="shared" si="985"/>
        <v>13</v>
      </c>
      <c r="OM54" s="25">
        <f t="shared" si="985"/>
        <v>12619899</v>
      </c>
      <c r="ON54" s="25">
        <f t="shared" si="985"/>
        <v>21788035</v>
      </c>
      <c r="OO54" s="25">
        <f t="shared" si="985"/>
        <v>910888</v>
      </c>
      <c r="OP54" s="39">
        <f>IF(SUM(OP53)=0,"",SUM(OP53)/COUNT(OP53))</f>
        <v>4.1799999999999997E-2</v>
      </c>
      <c r="OQ54" s="25">
        <f>SUM(OQ53)</f>
        <v>3</v>
      </c>
      <c r="OR54" s="25">
        <f t="shared" ref="OR54:OX54" si="986">SUM(OR53)</f>
        <v>5410000</v>
      </c>
      <c r="OS54" s="25">
        <f t="shared" si="986"/>
        <v>4</v>
      </c>
      <c r="OT54" s="25">
        <f t="shared" si="986"/>
        <v>3451369</v>
      </c>
      <c r="OU54" s="25">
        <f t="shared" si="986"/>
        <v>12</v>
      </c>
      <c r="OV54" s="25">
        <f t="shared" si="986"/>
        <v>14578530</v>
      </c>
      <c r="OW54" s="25">
        <f t="shared" si="986"/>
        <v>11432878</v>
      </c>
      <c r="OX54" s="25">
        <f t="shared" si="986"/>
        <v>704942</v>
      </c>
      <c r="OY54" s="39">
        <f>IF(SUM(OY53)=0,"",SUM(OY53)/COUNT(OY53))</f>
        <v>6.1699999999999998E-2</v>
      </c>
      <c r="OZ54" s="27">
        <f>SUM(OZ53)</f>
        <v>0</v>
      </c>
      <c r="PA54" s="27">
        <f t="shared" ref="PA54:PG54" si="987">SUM(PA53)</f>
        <v>0</v>
      </c>
      <c r="PB54" s="27">
        <f t="shared" si="987"/>
        <v>0</v>
      </c>
      <c r="PC54" s="27">
        <f t="shared" si="987"/>
        <v>0</v>
      </c>
      <c r="PD54" s="27">
        <f t="shared" si="987"/>
        <v>0</v>
      </c>
      <c r="PE54" s="27">
        <f t="shared" si="987"/>
        <v>0</v>
      </c>
      <c r="PF54" s="27">
        <f t="shared" si="987"/>
        <v>0</v>
      </c>
      <c r="PG54" s="27">
        <f t="shared" si="987"/>
        <v>0</v>
      </c>
      <c r="PH54" s="28" t="str">
        <f>IF(SUM(PH53)=0,"",SUM(PH53)/COUNT(PH53))</f>
        <v/>
      </c>
    </row>
    <row r="55" spans="1:424" x14ac:dyDescent="0.2">
      <c r="A55" s="35" t="s">
        <v>70</v>
      </c>
      <c r="B55" s="24">
        <v>16</v>
      </c>
      <c r="C55" s="24">
        <v>17962800</v>
      </c>
      <c r="D55" s="24">
        <v>36</v>
      </c>
      <c r="E55" s="24">
        <v>19437967</v>
      </c>
      <c r="F55" s="24">
        <v>5</v>
      </c>
      <c r="G55" s="24">
        <v>3356160</v>
      </c>
      <c r="H55" s="24"/>
      <c r="I55" s="24">
        <v>659000</v>
      </c>
      <c r="J55" s="38"/>
      <c r="K55" s="24"/>
      <c r="L55" s="24"/>
      <c r="M55" s="24"/>
      <c r="N55" s="24"/>
      <c r="O55" s="24"/>
      <c r="P55" s="24"/>
      <c r="Q55" s="24"/>
      <c r="R55" s="24"/>
      <c r="S55" s="38"/>
      <c r="T55" s="24"/>
      <c r="U55" s="24"/>
      <c r="V55" s="24"/>
      <c r="W55" s="24"/>
      <c r="X55" s="24"/>
      <c r="Y55" s="24"/>
      <c r="Z55" s="24"/>
      <c r="AA55" s="24"/>
      <c r="AB55" s="38"/>
      <c r="AC55" s="24"/>
      <c r="AD55" s="24"/>
      <c r="AE55" s="24"/>
      <c r="AF55" s="24"/>
      <c r="AG55" s="24"/>
      <c r="AH55" s="24"/>
      <c r="AI55" s="24"/>
      <c r="AJ55" s="24"/>
      <c r="AK55" s="38"/>
      <c r="AL55" s="24"/>
      <c r="AM55" s="24"/>
      <c r="AN55" s="24"/>
      <c r="AO55" s="24"/>
      <c r="AP55" s="24"/>
      <c r="AQ55" s="24"/>
      <c r="AR55" s="24"/>
      <c r="AS55" s="24"/>
      <c r="AT55" s="38"/>
      <c r="AU55" s="24">
        <v>1</v>
      </c>
      <c r="AV55" s="24">
        <v>1500000</v>
      </c>
      <c r="AW55" s="24"/>
      <c r="AX55" s="24">
        <v>1500000</v>
      </c>
      <c r="AY55" s="24"/>
      <c r="AZ55" s="24"/>
      <c r="BA55" s="24">
        <v>250000</v>
      </c>
      <c r="BB55" s="24">
        <v>126000</v>
      </c>
      <c r="BC55" s="38"/>
      <c r="BD55" s="24">
        <v>2</v>
      </c>
      <c r="BE55" s="24">
        <v>6750000</v>
      </c>
      <c r="BF55" s="24"/>
      <c r="BG55" s="24">
        <v>5488934</v>
      </c>
      <c r="BH55" s="24">
        <v>1</v>
      </c>
      <c r="BI55" s="24">
        <v>1261066</v>
      </c>
      <c r="BJ55" s="24">
        <v>4254640</v>
      </c>
      <c r="BK55" s="24">
        <v>294000</v>
      </c>
      <c r="BL55" s="38"/>
      <c r="BM55" s="24">
        <v>6</v>
      </c>
      <c r="BN55" s="24">
        <v>20000000</v>
      </c>
      <c r="BO55" s="24">
        <v>5</v>
      </c>
      <c r="BP55" s="24">
        <v>18545687</v>
      </c>
      <c r="BQ55" s="24">
        <v>2</v>
      </c>
      <c r="BR55" s="24">
        <v>2000000</v>
      </c>
      <c r="BS55" s="24">
        <v>3468474</v>
      </c>
      <c r="BT55" s="24">
        <v>971000</v>
      </c>
      <c r="BU55" s="38"/>
      <c r="BV55" s="24">
        <v>7</v>
      </c>
      <c r="BW55" s="24">
        <v>8500000</v>
      </c>
      <c r="BX55" s="24">
        <v>6</v>
      </c>
      <c r="BY55" s="24">
        <v>7500000</v>
      </c>
      <c r="BZ55" s="24">
        <v>3</v>
      </c>
      <c r="CA55" s="24">
        <v>3000000</v>
      </c>
      <c r="CB55" s="24">
        <v>1041666</v>
      </c>
      <c r="CC55" s="24">
        <v>70000</v>
      </c>
      <c r="CD55" s="38"/>
      <c r="CE55" s="24"/>
      <c r="CF55" s="24"/>
      <c r="CG55" s="24"/>
      <c r="CH55" s="24"/>
      <c r="CI55" s="24"/>
      <c r="CJ55" s="24">
        <v>2835000</v>
      </c>
      <c r="CK55" s="24"/>
      <c r="CL55" s="24"/>
      <c r="CM55" s="38"/>
      <c r="CN55" s="24"/>
      <c r="CO55" s="24"/>
      <c r="CP55" s="24"/>
      <c r="CQ55" s="24"/>
      <c r="CR55" s="24"/>
      <c r="CS55" s="24">
        <v>655000</v>
      </c>
      <c r="CT55" s="24"/>
      <c r="CU55" s="24"/>
      <c r="CV55" s="38"/>
      <c r="CW55" s="24"/>
      <c r="CX55" s="24"/>
      <c r="CY55" s="24"/>
      <c r="CZ55" s="24"/>
      <c r="DA55" s="24"/>
      <c r="DB55" s="24">
        <v>456000</v>
      </c>
      <c r="DC55" s="24"/>
      <c r="DD55" s="24"/>
      <c r="DE55" s="38"/>
      <c r="DF55" s="24">
        <v>0</v>
      </c>
      <c r="DG55" s="24">
        <v>0</v>
      </c>
      <c r="DH55" s="24">
        <v>1</v>
      </c>
      <c r="DI55" s="24">
        <v>456000</v>
      </c>
      <c r="DJ55" s="24"/>
      <c r="DK55" s="24"/>
      <c r="DL55" s="24">
        <v>228000</v>
      </c>
      <c r="DM55" s="24">
        <v>15000</v>
      </c>
      <c r="DN55" s="38">
        <v>6.5699999999999995E-2</v>
      </c>
      <c r="DO55" s="24"/>
      <c r="DP55" s="24"/>
      <c r="DQ55" s="24"/>
      <c r="DR55" s="24"/>
      <c r="DS55" s="24"/>
      <c r="DT55" s="24"/>
      <c r="DU55" s="24"/>
      <c r="DV55" s="24"/>
      <c r="DW55" s="38"/>
      <c r="DX55" s="24"/>
      <c r="DY55" s="24"/>
      <c r="DZ55" s="24"/>
      <c r="EA55" s="24"/>
      <c r="EB55" s="24"/>
      <c r="EC55" s="24"/>
      <c r="ED55" s="24"/>
      <c r="EE55" s="24"/>
      <c r="EF55" s="38"/>
      <c r="EG55" s="24"/>
      <c r="EH55" s="24"/>
      <c r="EI55" s="24"/>
      <c r="EJ55" s="24"/>
      <c r="EK55" s="24"/>
      <c r="EL55" s="24"/>
      <c r="EM55" s="24"/>
      <c r="EN55" s="24"/>
      <c r="EO55" s="38"/>
      <c r="EP55" s="24"/>
      <c r="EQ55" s="24"/>
      <c r="ER55" s="24"/>
      <c r="ES55" s="24"/>
      <c r="ET55" s="24"/>
      <c r="EU55" s="24"/>
      <c r="EV55" s="24"/>
      <c r="EW55" s="24"/>
      <c r="EX55" s="38"/>
      <c r="EY55" s="24"/>
      <c r="EZ55" s="24"/>
      <c r="FA55" s="24"/>
      <c r="FB55" s="24"/>
      <c r="FC55" s="24"/>
      <c r="FD55" s="24"/>
      <c r="FE55" s="24"/>
      <c r="FF55" s="24"/>
      <c r="FG55" s="38"/>
      <c r="FH55" s="24"/>
      <c r="FI55" s="24"/>
      <c r="FJ55" s="24"/>
      <c r="FK55" s="24"/>
      <c r="FL55" s="24"/>
      <c r="FM55" s="24"/>
      <c r="FN55" s="24"/>
      <c r="FO55" s="24"/>
      <c r="FP55" s="38"/>
      <c r="FQ55" s="24"/>
      <c r="FR55" s="24"/>
      <c r="FS55" s="24"/>
      <c r="FT55" s="24"/>
      <c r="FU55" s="24"/>
      <c r="FV55" s="24"/>
      <c r="FW55" s="24"/>
      <c r="FX55" s="24"/>
      <c r="FY55" s="38"/>
      <c r="FZ55" s="24"/>
      <c r="GA55" s="24"/>
      <c r="GB55" s="24"/>
      <c r="GC55" s="24"/>
      <c r="GD55" s="24"/>
      <c r="GE55" s="24"/>
      <c r="GF55" s="24"/>
      <c r="GG55" s="24"/>
      <c r="GH55" s="38"/>
      <c r="GI55" s="24"/>
      <c r="GJ55" s="24"/>
      <c r="GK55" s="24"/>
      <c r="GL55" s="24"/>
      <c r="GM55" s="24"/>
      <c r="GN55" s="24"/>
      <c r="GO55" s="24"/>
      <c r="GP55" s="24"/>
      <c r="GQ55" s="38"/>
      <c r="GR55" s="24"/>
      <c r="GS55" s="24"/>
      <c r="GT55" s="24"/>
      <c r="GU55" s="24"/>
      <c r="GV55" s="24"/>
      <c r="GW55" s="24"/>
      <c r="GX55" s="24"/>
      <c r="GY55" s="24"/>
      <c r="GZ55" s="38"/>
      <c r="HA55" s="24"/>
      <c r="HB55" s="24"/>
      <c r="HC55" s="24"/>
      <c r="HD55" s="24"/>
      <c r="HE55" s="24"/>
      <c r="HF55" s="24"/>
      <c r="HG55" s="24"/>
      <c r="HH55" s="24"/>
      <c r="HI55" s="38"/>
      <c r="HJ55" s="24"/>
      <c r="HK55" s="24"/>
      <c r="HL55" s="24"/>
      <c r="HM55" s="24"/>
      <c r="HN55" s="24"/>
      <c r="HO55" s="24"/>
      <c r="HP55" s="24"/>
      <c r="HQ55" s="24"/>
      <c r="HR55" s="38"/>
      <c r="HS55" s="24"/>
      <c r="HT55" s="24"/>
      <c r="HU55" s="24"/>
      <c r="HV55" s="24"/>
      <c r="HW55" s="24"/>
      <c r="HX55" s="24"/>
      <c r="HY55" s="24"/>
      <c r="HZ55" s="24"/>
      <c r="IA55" s="38"/>
      <c r="IB55" s="24"/>
      <c r="IC55" s="24"/>
      <c r="ID55" s="24"/>
      <c r="IE55" s="24"/>
      <c r="IF55" s="24"/>
      <c r="IG55" s="24"/>
      <c r="IH55" s="24"/>
      <c r="II55" s="24"/>
      <c r="IJ55" s="38"/>
      <c r="IK55" s="24"/>
      <c r="IL55" s="24"/>
      <c r="IM55" s="24"/>
      <c r="IN55" s="24"/>
      <c r="IO55" s="24"/>
      <c r="IP55" s="24"/>
      <c r="IQ55" s="24"/>
      <c r="IR55" s="24"/>
      <c r="IS55" s="38"/>
      <c r="IT55" s="24"/>
      <c r="IU55" s="24"/>
      <c r="IV55" s="24"/>
      <c r="IW55" s="24"/>
      <c r="IX55" s="24"/>
      <c r="IY55" s="24"/>
      <c r="IZ55" s="24"/>
      <c r="JA55" s="24"/>
      <c r="JB55" s="38"/>
      <c r="JC55" s="24"/>
      <c r="JD55" s="24"/>
      <c r="JE55" s="24"/>
      <c r="JF55" s="24"/>
      <c r="JG55" s="24"/>
      <c r="JH55" s="24"/>
      <c r="JI55" s="24"/>
      <c r="JJ55" s="24"/>
      <c r="JK55" s="38"/>
      <c r="JL55" s="24"/>
      <c r="JM55" s="24"/>
      <c r="JN55" s="24"/>
      <c r="JO55" s="24"/>
      <c r="JP55" s="24"/>
      <c r="JQ55" s="24"/>
      <c r="JR55" s="24"/>
      <c r="JS55" s="24"/>
      <c r="JT55" s="38"/>
      <c r="JU55" s="24"/>
      <c r="JV55" s="24"/>
      <c r="JW55" s="24"/>
      <c r="JX55" s="24"/>
      <c r="JY55" s="24"/>
      <c r="JZ55" s="24"/>
      <c r="KA55" s="24"/>
      <c r="KB55" s="24"/>
      <c r="KC55" s="38"/>
      <c r="KD55" s="24"/>
      <c r="KE55" s="24"/>
      <c r="KF55" s="24"/>
      <c r="KG55" s="24"/>
      <c r="KH55" s="24"/>
      <c r="KI55" s="24"/>
      <c r="KJ55" s="24"/>
      <c r="KK55" s="24"/>
      <c r="KL55" s="38"/>
      <c r="KM55" s="24"/>
      <c r="KN55" s="24"/>
      <c r="KO55" s="24"/>
      <c r="KP55" s="24"/>
      <c r="KQ55" s="24"/>
      <c r="KR55" s="24"/>
      <c r="KS55" s="24"/>
      <c r="KT55" s="24"/>
      <c r="KU55" s="38"/>
      <c r="KV55" s="24"/>
      <c r="KW55" s="24"/>
      <c r="KX55" s="24"/>
      <c r="KY55" s="24"/>
      <c r="KZ55" s="24"/>
      <c r="LA55" s="24"/>
      <c r="LB55" s="24"/>
      <c r="LC55" s="24"/>
      <c r="LD55" s="38"/>
      <c r="LE55" s="24"/>
      <c r="LF55" s="24"/>
      <c r="LG55" s="24"/>
      <c r="LH55" s="24"/>
      <c r="LI55" s="24"/>
      <c r="LJ55" s="24"/>
      <c r="LK55" s="24"/>
      <c r="LL55" s="24"/>
      <c r="LM55" s="38"/>
      <c r="LN55" s="24"/>
      <c r="LO55" s="24"/>
      <c r="LP55" s="24"/>
      <c r="LQ55" s="24"/>
      <c r="LR55" s="24"/>
      <c r="LS55" s="24"/>
      <c r="LT55" s="24"/>
      <c r="LU55" s="24"/>
      <c r="LV55" s="38"/>
      <c r="LW55" s="24"/>
      <c r="LX55" s="24"/>
      <c r="LY55" s="24"/>
      <c r="LZ55" s="24"/>
      <c r="MA55" s="24"/>
      <c r="MB55" s="24"/>
      <c r="MC55" s="24"/>
      <c r="MD55" s="24"/>
      <c r="ME55" s="38"/>
      <c r="MF55" s="24"/>
      <c r="MG55" s="24"/>
      <c r="MH55" s="24"/>
      <c r="MI55" s="24"/>
      <c r="MJ55" s="24"/>
      <c r="MK55" s="24"/>
      <c r="ML55" s="24"/>
      <c r="MM55" s="24"/>
      <c r="MN55" s="38"/>
      <c r="MO55" s="24"/>
      <c r="MP55" s="24"/>
      <c r="MQ55" s="24"/>
      <c r="MR55" s="24"/>
      <c r="MS55" s="24"/>
      <c r="MT55" s="24"/>
      <c r="MU55" s="24"/>
      <c r="MV55" s="24"/>
      <c r="MW55" s="38"/>
      <c r="MX55" s="24"/>
      <c r="MY55" s="24"/>
      <c r="MZ55" s="24"/>
      <c r="NA55" s="24"/>
      <c r="NB55" s="24"/>
      <c r="NC55" s="24"/>
      <c r="ND55" s="24"/>
      <c r="NE55" s="24"/>
      <c r="NF55" s="38"/>
      <c r="NG55" s="24"/>
      <c r="NH55" s="24"/>
      <c r="NI55" s="24"/>
      <c r="NJ55" s="24"/>
      <c r="NK55" s="24"/>
      <c r="NL55" s="24"/>
      <c r="NM55" s="24"/>
      <c r="NN55" s="24"/>
      <c r="NO55" s="38"/>
      <c r="NP55" s="24"/>
      <c r="NQ55" s="24"/>
      <c r="NR55" s="24"/>
      <c r="NS55" s="24"/>
      <c r="NT55" s="24"/>
      <c r="NU55" s="24"/>
      <c r="NV55" s="24"/>
      <c r="NW55" s="24"/>
      <c r="NX55" s="38"/>
      <c r="NY55" s="24"/>
      <c r="NZ55" s="24"/>
      <c r="OA55" s="24"/>
      <c r="OB55" s="24"/>
      <c r="OC55" s="24"/>
      <c r="OD55" s="24"/>
      <c r="OE55" s="24"/>
      <c r="OF55" s="24"/>
      <c r="OG55" s="38"/>
      <c r="OH55" s="24"/>
      <c r="OI55" s="24"/>
      <c r="OJ55" s="24"/>
      <c r="OK55" s="24"/>
      <c r="OL55" s="24"/>
      <c r="OM55" s="24"/>
      <c r="ON55" s="24"/>
      <c r="OO55" s="24"/>
      <c r="OP55" s="38"/>
      <c r="OQ55" s="24"/>
      <c r="OR55" s="24"/>
      <c r="OS55" s="24"/>
      <c r="OT55" s="24"/>
      <c r="OU55" s="24"/>
      <c r="OV55" s="24"/>
      <c r="OW55" s="24"/>
      <c r="OX55" s="24"/>
      <c r="OY55" s="38"/>
    </row>
    <row r="56" spans="1:424" s="26" customFormat="1" x14ac:dyDescent="0.2">
      <c r="A56" s="36" t="s">
        <v>73</v>
      </c>
      <c r="B56" s="25">
        <f>SUM(B55)</f>
        <v>16</v>
      </c>
      <c r="C56" s="25">
        <f t="shared" ref="C56:I56" si="988">SUM(C55)</f>
        <v>17962800</v>
      </c>
      <c r="D56" s="25">
        <f t="shared" si="988"/>
        <v>36</v>
      </c>
      <c r="E56" s="25">
        <f t="shared" si="988"/>
        <v>19437967</v>
      </c>
      <c r="F56" s="25">
        <f t="shared" si="988"/>
        <v>5</v>
      </c>
      <c r="G56" s="25">
        <f t="shared" si="988"/>
        <v>3356160</v>
      </c>
      <c r="H56" s="25">
        <f t="shared" si="988"/>
        <v>0</v>
      </c>
      <c r="I56" s="25">
        <f t="shared" si="988"/>
        <v>659000</v>
      </c>
      <c r="J56" s="39" t="str">
        <f>IF(SUM(J55)=0,"",SUM(J55)/COUNT(J55))</f>
        <v/>
      </c>
      <c r="K56" s="25">
        <f>SUM(K55)</f>
        <v>0</v>
      </c>
      <c r="L56" s="25">
        <f t="shared" ref="L56" si="989">SUM(L55)</f>
        <v>0</v>
      </c>
      <c r="M56" s="25">
        <f t="shared" ref="M56" si="990">SUM(M55)</f>
        <v>0</v>
      </c>
      <c r="N56" s="25">
        <f t="shared" ref="N56" si="991">SUM(N55)</f>
        <v>0</v>
      </c>
      <c r="O56" s="25">
        <f t="shared" ref="O56" si="992">SUM(O55)</f>
        <v>0</v>
      </c>
      <c r="P56" s="25">
        <f t="shared" ref="P56" si="993">SUM(P55)</f>
        <v>0</v>
      </c>
      <c r="Q56" s="25">
        <f t="shared" ref="Q56" si="994">SUM(Q55)</f>
        <v>0</v>
      </c>
      <c r="R56" s="25">
        <f t="shared" ref="R56" si="995">SUM(R55)</f>
        <v>0</v>
      </c>
      <c r="S56" s="39" t="str">
        <f>IF(SUM(S55)=0,"",SUM(S55)/COUNT(S55))</f>
        <v/>
      </c>
      <c r="T56" s="25">
        <f>SUM(T55)</f>
        <v>0</v>
      </c>
      <c r="U56" s="25">
        <f t="shared" ref="U56" si="996">SUM(U55)</f>
        <v>0</v>
      </c>
      <c r="V56" s="25">
        <f t="shared" ref="V56" si="997">SUM(V55)</f>
        <v>0</v>
      </c>
      <c r="W56" s="25">
        <f t="shared" ref="W56" si="998">SUM(W55)</f>
        <v>0</v>
      </c>
      <c r="X56" s="25">
        <f t="shared" ref="X56" si="999">SUM(X55)</f>
        <v>0</v>
      </c>
      <c r="Y56" s="25">
        <f t="shared" ref="Y56" si="1000">SUM(Y55)</f>
        <v>0</v>
      </c>
      <c r="Z56" s="25">
        <f t="shared" ref="Z56" si="1001">SUM(Z55)</f>
        <v>0</v>
      </c>
      <c r="AA56" s="25">
        <f t="shared" ref="AA56" si="1002">SUM(AA55)</f>
        <v>0</v>
      </c>
      <c r="AB56" s="39" t="str">
        <f>IF(SUM(AB55)=0,"",SUM(AB55)/COUNT(AB55))</f>
        <v/>
      </c>
      <c r="AC56" s="25">
        <f>SUM(AC55)</f>
        <v>0</v>
      </c>
      <c r="AD56" s="25">
        <f t="shared" ref="AD56" si="1003">SUM(AD55)</f>
        <v>0</v>
      </c>
      <c r="AE56" s="25">
        <f t="shared" ref="AE56" si="1004">SUM(AE55)</f>
        <v>0</v>
      </c>
      <c r="AF56" s="25">
        <f t="shared" ref="AF56" si="1005">SUM(AF55)</f>
        <v>0</v>
      </c>
      <c r="AG56" s="25">
        <f t="shared" ref="AG56" si="1006">SUM(AG55)</f>
        <v>0</v>
      </c>
      <c r="AH56" s="25">
        <f t="shared" ref="AH56" si="1007">SUM(AH55)</f>
        <v>0</v>
      </c>
      <c r="AI56" s="25">
        <f t="shared" ref="AI56" si="1008">SUM(AI55)</f>
        <v>0</v>
      </c>
      <c r="AJ56" s="25">
        <f t="shared" ref="AJ56" si="1009">SUM(AJ55)</f>
        <v>0</v>
      </c>
      <c r="AK56" s="39" t="str">
        <f>IF(SUM(AK55)=0,"",SUM(AK55)/COUNT(AK55))</f>
        <v/>
      </c>
      <c r="AL56" s="25">
        <f>SUM(AL55)</f>
        <v>0</v>
      </c>
      <c r="AM56" s="25">
        <f t="shared" ref="AM56" si="1010">SUM(AM55)</f>
        <v>0</v>
      </c>
      <c r="AN56" s="25">
        <f t="shared" ref="AN56" si="1011">SUM(AN55)</f>
        <v>0</v>
      </c>
      <c r="AO56" s="25">
        <f t="shared" ref="AO56" si="1012">SUM(AO55)</f>
        <v>0</v>
      </c>
      <c r="AP56" s="25">
        <f t="shared" ref="AP56" si="1013">SUM(AP55)</f>
        <v>0</v>
      </c>
      <c r="AQ56" s="25">
        <f t="shared" ref="AQ56" si="1014">SUM(AQ55)</f>
        <v>0</v>
      </c>
      <c r="AR56" s="25">
        <f t="shared" ref="AR56" si="1015">SUM(AR55)</f>
        <v>0</v>
      </c>
      <c r="AS56" s="25">
        <f t="shared" ref="AS56" si="1016">SUM(AS55)</f>
        <v>0</v>
      </c>
      <c r="AT56" s="39" t="str">
        <f>IF(SUM(AT55)=0,"",SUM(AT55)/COUNT(AT55))</f>
        <v/>
      </c>
      <c r="AU56" s="25">
        <f>SUM(AU55)</f>
        <v>1</v>
      </c>
      <c r="AV56" s="25">
        <f t="shared" ref="AV56" si="1017">SUM(AV55)</f>
        <v>1500000</v>
      </c>
      <c r="AW56" s="25">
        <f t="shared" ref="AW56" si="1018">SUM(AW55)</f>
        <v>0</v>
      </c>
      <c r="AX56" s="25">
        <f t="shared" ref="AX56" si="1019">SUM(AX55)</f>
        <v>1500000</v>
      </c>
      <c r="AY56" s="25">
        <f t="shared" ref="AY56" si="1020">SUM(AY55)</f>
        <v>0</v>
      </c>
      <c r="AZ56" s="25">
        <f t="shared" ref="AZ56" si="1021">SUM(AZ55)</f>
        <v>0</v>
      </c>
      <c r="BA56" s="25">
        <f t="shared" ref="BA56" si="1022">SUM(BA55)</f>
        <v>250000</v>
      </c>
      <c r="BB56" s="25">
        <f t="shared" ref="BB56" si="1023">SUM(BB55)</f>
        <v>126000</v>
      </c>
      <c r="BC56" s="39" t="str">
        <f>IF(SUM(BC55)=0,"",SUM(BC55)/COUNT(BC55))</f>
        <v/>
      </c>
      <c r="BD56" s="25">
        <f>SUM(BD55)</f>
        <v>2</v>
      </c>
      <c r="BE56" s="25">
        <f t="shared" ref="BE56" si="1024">SUM(BE55)</f>
        <v>6750000</v>
      </c>
      <c r="BF56" s="25">
        <f t="shared" ref="BF56" si="1025">SUM(BF55)</f>
        <v>0</v>
      </c>
      <c r="BG56" s="25">
        <f t="shared" ref="BG56" si="1026">SUM(BG55)</f>
        <v>5488934</v>
      </c>
      <c r="BH56" s="25">
        <f t="shared" ref="BH56" si="1027">SUM(BH55)</f>
        <v>1</v>
      </c>
      <c r="BI56" s="25">
        <f t="shared" ref="BI56" si="1028">SUM(BI55)</f>
        <v>1261066</v>
      </c>
      <c r="BJ56" s="25">
        <f t="shared" ref="BJ56" si="1029">SUM(BJ55)</f>
        <v>4254640</v>
      </c>
      <c r="BK56" s="25">
        <f t="shared" ref="BK56" si="1030">SUM(BK55)</f>
        <v>294000</v>
      </c>
      <c r="BL56" s="39" t="str">
        <f>IF(SUM(BL55)=0,"",SUM(BL55)/COUNT(BL55))</f>
        <v/>
      </c>
      <c r="BM56" s="25">
        <f>SUM(BM55)</f>
        <v>6</v>
      </c>
      <c r="BN56" s="25">
        <f t="shared" ref="BN56" si="1031">SUM(BN55)</f>
        <v>20000000</v>
      </c>
      <c r="BO56" s="25">
        <f t="shared" ref="BO56" si="1032">SUM(BO55)</f>
        <v>5</v>
      </c>
      <c r="BP56" s="25">
        <f t="shared" ref="BP56" si="1033">SUM(BP55)</f>
        <v>18545687</v>
      </c>
      <c r="BQ56" s="25">
        <f t="shared" ref="BQ56" si="1034">SUM(BQ55)</f>
        <v>2</v>
      </c>
      <c r="BR56" s="25">
        <f t="shared" ref="BR56" si="1035">SUM(BR55)</f>
        <v>2000000</v>
      </c>
      <c r="BS56" s="25">
        <f t="shared" ref="BS56" si="1036">SUM(BS55)</f>
        <v>3468474</v>
      </c>
      <c r="BT56" s="25">
        <f t="shared" ref="BT56" si="1037">SUM(BT55)</f>
        <v>971000</v>
      </c>
      <c r="BU56" s="39" t="str">
        <f>IF(SUM(BU55)=0,"",SUM(BU55)/COUNT(BU55))</f>
        <v/>
      </c>
      <c r="BV56" s="25">
        <f>SUM(BV55)</f>
        <v>7</v>
      </c>
      <c r="BW56" s="25">
        <f t="shared" ref="BW56" si="1038">SUM(BW55)</f>
        <v>8500000</v>
      </c>
      <c r="BX56" s="25">
        <f t="shared" ref="BX56" si="1039">SUM(BX55)</f>
        <v>6</v>
      </c>
      <c r="BY56" s="25">
        <f t="shared" ref="BY56" si="1040">SUM(BY55)</f>
        <v>7500000</v>
      </c>
      <c r="BZ56" s="25">
        <f t="shared" ref="BZ56" si="1041">SUM(BZ55)</f>
        <v>3</v>
      </c>
      <c r="CA56" s="25">
        <f t="shared" ref="CA56" si="1042">SUM(CA55)</f>
        <v>3000000</v>
      </c>
      <c r="CB56" s="25">
        <f t="shared" ref="CB56" si="1043">SUM(CB55)</f>
        <v>1041666</v>
      </c>
      <c r="CC56" s="25">
        <f t="shared" ref="CC56" si="1044">SUM(CC55)</f>
        <v>70000</v>
      </c>
      <c r="CD56" s="39" t="str">
        <f>IF(SUM(CD55)=0,"",SUM(CD55)/COUNT(CD55))</f>
        <v/>
      </c>
      <c r="CE56" s="25">
        <f>SUM(CE55)</f>
        <v>0</v>
      </c>
      <c r="CF56" s="25">
        <f t="shared" ref="CF56" si="1045">SUM(CF55)</f>
        <v>0</v>
      </c>
      <c r="CG56" s="25">
        <f t="shared" ref="CG56" si="1046">SUM(CG55)</f>
        <v>0</v>
      </c>
      <c r="CH56" s="25">
        <f t="shared" ref="CH56" si="1047">SUM(CH55)</f>
        <v>0</v>
      </c>
      <c r="CI56" s="25">
        <f t="shared" ref="CI56" si="1048">SUM(CI55)</f>
        <v>0</v>
      </c>
      <c r="CJ56" s="25">
        <f t="shared" ref="CJ56" si="1049">SUM(CJ55)</f>
        <v>2835000</v>
      </c>
      <c r="CK56" s="25">
        <f t="shared" ref="CK56" si="1050">SUM(CK55)</f>
        <v>0</v>
      </c>
      <c r="CL56" s="25">
        <f t="shared" ref="CL56" si="1051">SUM(CL55)</f>
        <v>0</v>
      </c>
      <c r="CM56" s="39" t="str">
        <f>IF(SUM(CM55)=0,"",SUM(CM55)/COUNT(CM55))</f>
        <v/>
      </c>
      <c r="CN56" s="25">
        <f>SUM(CN55)</f>
        <v>0</v>
      </c>
      <c r="CO56" s="25">
        <f t="shared" ref="CO56" si="1052">SUM(CO55)</f>
        <v>0</v>
      </c>
      <c r="CP56" s="25">
        <f t="shared" ref="CP56" si="1053">SUM(CP55)</f>
        <v>0</v>
      </c>
      <c r="CQ56" s="25">
        <f t="shared" ref="CQ56" si="1054">SUM(CQ55)</f>
        <v>0</v>
      </c>
      <c r="CR56" s="25">
        <f t="shared" ref="CR56" si="1055">SUM(CR55)</f>
        <v>0</v>
      </c>
      <c r="CS56" s="25">
        <f t="shared" ref="CS56" si="1056">SUM(CS55)</f>
        <v>655000</v>
      </c>
      <c r="CT56" s="25">
        <f t="shared" ref="CT56" si="1057">SUM(CT55)</f>
        <v>0</v>
      </c>
      <c r="CU56" s="25">
        <f t="shared" ref="CU56" si="1058">SUM(CU55)</f>
        <v>0</v>
      </c>
      <c r="CV56" s="39" t="str">
        <f>IF(SUM(CV55)=0,"",SUM(CV55)/COUNT(CV55))</f>
        <v/>
      </c>
      <c r="CW56" s="25">
        <f>SUM(CW55)</f>
        <v>0</v>
      </c>
      <c r="CX56" s="25">
        <f t="shared" ref="CX56" si="1059">SUM(CX55)</f>
        <v>0</v>
      </c>
      <c r="CY56" s="25">
        <f t="shared" ref="CY56" si="1060">SUM(CY55)</f>
        <v>0</v>
      </c>
      <c r="CZ56" s="25">
        <f t="shared" ref="CZ56" si="1061">SUM(CZ55)</f>
        <v>0</v>
      </c>
      <c r="DA56" s="25">
        <f t="shared" ref="DA56" si="1062">SUM(DA55)</f>
        <v>0</v>
      </c>
      <c r="DB56" s="25">
        <f t="shared" ref="DB56" si="1063">SUM(DB55)</f>
        <v>456000</v>
      </c>
      <c r="DC56" s="25">
        <f t="shared" ref="DC56" si="1064">SUM(DC55)</f>
        <v>0</v>
      </c>
      <c r="DD56" s="25">
        <f t="shared" ref="DD56" si="1065">SUM(DD55)</f>
        <v>0</v>
      </c>
      <c r="DE56" s="39" t="str">
        <f>IF(SUM(DE55)=0,"",SUM(DE55)/COUNT(DE55))</f>
        <v/>
      </c>
      <c r="DF56" s="25">
        <f>SUM(DF55)</f>
        <v>0</v>
      </c>
      <c r="DG56" s="25">
        <f t="shared" ref="DG56" si="1066">SUM(DG55)</f>
        <v>0</v>
      </c>
      <c r="DH56" s="25">
        <f t="shared" ref="DH56" si="1067">SUM(DH55)</f>
        <v>1</v>
      </c>
      <c r="DI56" s="25">
        <f t="shared" ref="DI56" si="1068">SUM(DI55)</f>
        <v>456000</v>
      </c>
      <c r="DJ56" s="25">
        <f t="shared" ref="DJ56" si="1069">SUM(DJ55)</f>
        <v>0</v>
      </c>
      <c r="DK56" s="25">
        <f t="shared" ref="DK56" si="1070">SUM(DK55)</f>
        <v>0</v>
      </c>
      <c r="DL56" s="25">
        <f t="shared" ref="DL56" si="1071">SUM(DL55)</f>
        <v>228000</v>
      </c>
      <c r="DM56" s="25">
        <f t="shared" ref="DM56" si="1072">SUM(DM55)</f>
        <v>15000</v>
      </c>
      <c r="DN56" s="39">
        <f>IF(SUM(DN55)=0,"",SUM(DN55)/COUNT(DN55))</f>
        <v>6.5699999999999995E-2</v>
      </c>
      <c r="DO56" s="25">
        <f>SUM(DO55)</f>
        <v>0</v>
      </c>
      <c r="DP56" s="25">
        <f t="shared" ref="DP56" si="1073">SUM(DP55)</f>
        <v>0</v>
      </c>
      <c r="DQ56" s="25">
        <f t="shared" ref="DQ56" si="1074">SUM(DQ55)</f>
        <v>0</v>
      </c>
      <c r="DR56" s="25">
        <f t="shared" ref="DR56" si="1075">SUM(DR55)</f>
        <v>0</v>
      </c>
      <c r="DS56" s="25">
        <f t="shared" ref="DS56" si="1076">SUM(DS55)</f>
        <v>0</v>
      </c>
      <c r="DT56" s="25">
        <f t="shared" ref="DT56" si="1077">SUM(DT55)</f>
        <v>0</v>
      </c>
      <c r="DU56" s="25">
        <f t="shared" ref="DU56" si="1078">SUM(DU55)</f>
        <v>0</v>
      </c>
      <c r="DV56" s="25">
        <f t="shared" ref="DV56" si="1079">SUM(DV55)</f>
        <v>0</v>
      </c>
      <c r="DW56" s="39" t="str">
        <f>IF(SUM(DW55)=0,"",SUM(DW55)/COUNT(DW55))</f>
        <v/>
      </c>
      <c r="DX56" s="25">
        <f>SUM(DX55)</f>
        <v>0</v>
      </c>
      <c r="DY56" s="25">
        <f t="shared" ref="DY56" si="1080">SUM(DY55)</f>
        <v>0</v>
      </c>
      <c r="DZ56" s="25">
        <f t="shared" ref="DZ56" si="1081">SUM(DZ55)</f>
        <v>0</v>
      </c>
      <c r="EA56" s="25">
        <f t="shared" ref="EA56" si="1082">SUM(EA55)</f>
        <v>0</v>
      </c>
      <c r="EB56" s="25">
        <f t="shared" ref="EB56" si="1083">SUM(EB55)</f>
        <v>0</v>
      </c>
      <c r="EC56" s="25">
        <f t="shared" ref="EC56" si="1084">SUM(EC55)</f>
        <v>0</v>
      </c>
      <c r="ED56" s="25">
        <f t="shared" ref="ED56" si="1085">SUM(ED55)</f>
        <v>0</v>
      </c>
      <c r="EE56" s="25">
        <f t="shared" ref="EE56" si="1086">SUM(EE55)</f>
        <v>0</v>
      </c>
      <c r="EF56" s="39" t="str">
        <f>IF(SUM(EF55)=0,"",SUM(EF55)/COUNT(EF55))</f>
        <v/>
      </c>
      <c r="EG56" s="25">
        <f>SUM(EG55)</f>
        <v>0</v>
      </c>
      <c r="EH56" s="25">
        <f t="shared" ref="EH56" si="1087">SUM(EH55)</f>
        <v>0</v>
      </c>
      <c r="EI56" s="25">
        <f t="shared" ref="EI56" si="1088">SUM(EI55)</f>
        <v>0</v>
      </c>
      <c r="EJ56" s="25">
        <f t="shared" ref="EJ56" si="1089">SUM(EJ55)</f>
        <v>0</v>
      </c>
      <c r="EK56" s="25">
        <f t="shared" ref="EK56" si="1090">SUM(EK55)</f>
        <v>0</v>
      </c>
      <c r="EL56" s="25">
        <f t="shared" ref="EL56" si="1091">SUM(EL55)</f>
        <v>0</v>
      </c>
      <c r="EM56" s="25">
        <f t="shared" ref="EM56" si="1092">SUM(EM55)</f>
        <v>0</v>
      </c>
      <c r="EN56" s="25">
        <f t="shared" ref="EN56" si="1093">SUM(EN55)</f>
        <v>0</v>
      </c>
      <c r="EO56" s="39" t="str">
        <f>IF(SUM(EO55)=0,"",SUM(EO55)/COUNT(EO55))</f>
        <v/>
      </c>
      <c r="EP56" s="25">
        <f>SUM(EP55)</f>
        <v>0</v>
      </c>
      <c r="EQ56" s="25">
        <f t="shared" ref="EQ56" si="1094">SUM(EQ55)</f>
        <v>0</v>
      </c>
      <c r="ER56" s="25">
        <f t="shared" ref="ER56" si="1095">SUM(ER55)</f>
        <v>0</v>
      </c>
      <c r="ES56" s="25">
        <f t="shared" ref="ES56" si="1096">SUM(ES55)</f>
        <v>0</v>
      </c>
      <c r="ET56" s="25">
        <f t="shared" ref="ET56" si="1097">SUM(ET55)</f>
        <v>0</v>
      </c>
      <c r="EU56" s="25">
        <f t="shared" ref="EU56" si="1098">SUM(EU55)</f>
        <v>0</v>
      </c>
      <c r="EV56" s="25">
        <f t="shared" ref="EV56" si="1099">SUM(EV55)</f>
        <v>0</v>
      </c>
      <c r="EW56" s="25">
        <f t="shared" ref="EW56" si="1100">SUM(EW55)</f>
        <v>0</v>
      </c>
      <c r="EX56" s="39" t="str">
        <f>IF(SUM(EX55)=0,"",SUM(EX55)/COUNT(EX55))</f>
        <v/>
      </c>
      <c r="EY56" s="25">
        <f>SUM(EY55)</f>
        <v>0</v>
      </c>
      <c r="EZ56" s="25">
        <f t="shared" ref="EZ56" si="1101">SUM(EZ55)</f>
        <v>0</v>
      </c>
      <c r="FA56" s="25">
        <f t="shared" ref="FA56" si="1102">SUM(FA55)</f>
        <v>0</v>
      </c>
      <c r="FB56" s="25">
        <f t="shared" ref="FB56" si="1103">SUM(FB55)</f>
        <v>0</v>
      </c>
      <c r="FC56" s="25">
        <f t="shared" ref="FC56" si="1104">SUM(FC55)</f>
        <v>0</v>
      </c>
      <c r="FD56" s="25">
        <f t="shared" ref="FD56" si="1105">SUM(FD55)</f>
        <v>0</v>
      </c>
      <c r="FE56" s="25">
        <f t="shared" ref="FE56" si="1106">SUM(FE55)</f>
        <v>0</v>
      </c>
      <c r="FF56" s="25">
        <f t="shared" ref="FF56" si="1107">SUM(FF55)</f>
        <v>0</v>
      </c>
      <c r="FG56" s="39" t="str">
        <f>IF(SUM(FG55)=0,"",SUM(FG55)/COUNT(FG55))</f>
        <v/>
      </c>
      <c r="FH56" s="25">
        <f>SUM(FH55)</f>
        <v>0</v>
      </c>
      <c r="FI56" s="25">
        <f t="shared" ref="FI56" si="1108">SUM(FI55)</f>
        <v>0</v>
      </c>
      <c r="FJ56" s="25">
        <f t="shared" ref="FJ56" si="1109">SUM(FJ55)</f>
        <v>0</v>
      </c>
      <c r="FK56" s="25">
        <f t="shared" ref="FK56" si="1110">SUM(FK55)</f>
        <v>0</v>
      </c>
      <c r="FL56" s="25">
        <f t="shared" ref="FL56" si="1111">SUM(FL55)</f>
        <v>0</v>
      </c>
      <c r="FM56" s="25">
        <f t="shared" ref="FM56" si="1112">SUM(FM55)</f>
        <v>0</v>
      </c>
      <c r="FN56" s="25">
        <f t="shared" ref="FN56" si="1113">SUM(FN55)</f>
        <v>0</v>
      </c>
      <c r="FO56" s="25">
        <f t="shared" ref="FO56" si="1114">SUM(FO55)</f>
        <v>0</v>
      </c>
      <c r="FP56" s="39" t="str">
        <f>IF(SUM(FP55)=0,"",SUM(FP55)/COUNT(FP55))</f>
        <v/>
      </c>
      <c r="FQ56" s="25">
        <f>SUM(FQ55)</f>
        <v>0</v>
      </c>
      <c r="FR56" s="25">
        <f t="shared" ref="FR56" si="1115">SUM(FR55)</f>
        <v>0</v>
      </c>
      <c r="FS56" s="25">
        <f t="shared" ref="FS56" si="1116">SUM(FS55)</f>
        <v>0</v>
      </c>
      <c r="FT56" s="25">
        <f t="shared" ref="FT56" si="1117">SUM(FT55)</f>
        <v>0</v>
      </c>
      <c r="FU56" s="25">
        <f t="shared" ref="FU56" si="1118">SUM(FU55)</f>
        <v>0</v>
      </c>
      <c r="FV56" s="25">
        <f t="shared" ref="FV56" si="1119">SUM(FV55)</f>
        <v>0</v>
      </c>
      <c r="FW56" s="25">
        <f t="shared" ref="FW56" si="1120">SUM(FW55)</f>
        <v>0</v>
      </c>
      <c r="FX56" s="25">
        <f t="shared" ref="FX56" si="1121">SUM(FX55)</f>
        <v>0</v>
      </c>
      <c r="FY56" s="39" t="str">
        <f>IF(SUM(FY55)=0,"",SUM(FY55)/COUNT(FY55))</f>
        <v/>
      </c>
      <c r="FZ56" s="25">
        <f>SUM(FZ55)</f>
        <v>0</v>
      </c>
      <c r="GA56" s="25">
        <f t="shared" ref="GA56" si="1122">SUM(GA55)</f>
        <v>0</v>
      </c>
      <c r="GB56" s="25">
        <f t="shared" ref="GB56" si="1123">SUM(GB55)</f>
        <v>0</v>
      </c>
      <c r="GC56" s="25">
        <f t="shared" ref="GC56" si="1124">SUM(GC55)</f>
        <v>0</v>
      </c>
      <c r="GD56" s="25">
        <f t="shared" ref="GD56" si="1125">SUM(GD55)</f>
        <v>0</v>
      </c>
      <c r="GE56" s="25">
        <f t="shared" ref="GE56" si="1126">SUM(GE55)</f>
        <v>0</v>
      </c>
      <c r="GF56" s="25">
        <f t="shared" ref="GF56" si="1127">SUM(GF55)</f>
        <v>0</v>
      </c>
      <c r="GG56" s="25">
        <f t="shared" ref="GG56" si="1128">SUM(GG55)</f>
        <v>0</v>
      </c>
      <c r="GH56" s="39" t="str">
        <f>IF(SUM(GH55)=0,"",SUM(GH55)/COUNT(GH55))</f>
        <v/>
      </c>
      <c r="GI56" s="25">
        <f>SUM(GI55)</f>
        <v>0</v>
      </c>
      <c r="GJ56" s="25">
        <f t="shared" ref="GJ56" si="1129">SUM(GJ55)</f>
        <v>0</v>
      </c>
      <c r="GK56" s="25">
        <f t="shared" ref="GK56" si="1130">SUM(GK55)</f>
        <v>0</v>
      </c>
      <c r="GL56" s="25">
        <f t="shared" ref="GL56" si="1131">SUM(GL55)</f>
        <v>0</v>
      </c>
      <c r="GM56" s="25">
        <f t="shared" ref="GM56" si="1132">SUM(GM55)</f>
        <v>0</v>
      </c>
      <c r="GN56" s="25">
        <f t="shared" ref="GN56" si="1133">SUM(GN55)</f>
        <v>0</v>
      </c>
      <c r="GO56" s="25">
        <f t="shared" ref="GO56" si="1134">SUM(GO55)</f>
        <v>0</v>
      </c>
      <c r="GP56" s="25">
        <f t="shared" ref="GP56" si="1135">SUM(GP55)</f>
        <v>0</v>
      </c>
      <c r="GQ56" s="39" t="str">
        <f>IF(SUM(GQ55)=0,"",SUM(GQ55)/COUNT(GQ55))</f>
        <v/>
      </c>
      <c r="GR56" s="25">
        <f>SUM(GR55)</f>
        <v>0</v>
      </c>
      <c r="GS56" s="25">
        <f t="shared" ref="GS56" si="1136">SUM(GS55)</f>
        <v>0</v>
      </c>
      <c r="GT56" s="25">
        <f t="shared" ref="GT56" si="1137">SUM(GT55)</f>
        <v>0</v>
      </c>
      <c r="GU56" s="25">
        <f t="shared" ref="GU56" si="1138">SUM(GU55)</f>
        <v>0</v>
      </c>
      <c r="GV56" s="25">
        <f t="shared" ref="GV56" si="1139">SUM(GV55)</f>
        <v>0</v>
      </c>
      <c r="GW56" s="25">
        <f t="shared" ref="GW56" si="1140">SUM(GW55)</f>
        <v>0</v>
      </c>
      <c r="GX56" s="25">
        <f t="shared" ref="GX56" si="1141">SUM(GX55)</f>
        <v>0</v>
      </c>
      <c r="GY56" s="25">
        <f t="shared" ref="GY56" si="1142">SUM(GY55)</f>
        <v>0</v>
      </c>
      <c r="GZ56" s="39" t="str">
        <f>IF(SUM(GZ55)=0,"",SUM(GZ55)/COUNT(GZ55))</f>
        <v/>
      </c>
      <c r="HA56" s="25">
        <f>SUM(HA55)</f>
        <v>0</v>
      </c>
      <c r="HB56" s="25">
        <f t="shared" ref="HB56" si="1143">SUM(HB55)</f>
        <v>0</v>
      </c>
      <c r="HC56" s="25">
        <f t="shared" ref="HC56" si="1144">SUM(HC55)</f>
        <v>0</v>
      </c>
      <c r="HD56" s="25">
        <f t="shared" ref="HD56" si="1145">SUM(HD55)</f>
        <v>0</v>
      </c>
      <c r="HE56" s="25">
        <f t="shared" ref="HE56" si="1146">SUM(HE55)</f>
        <v>0</v>
      </c>
      <c r="HF56" s="25">
        <f t="shared" ref="HF56" si="1147">SUM(HF55)</f>
        <v>0</v>
      </c>
      <c r="HG56" s="25">
        <f t="shared" ref="HG56" si="1148">SUM(HG55)</f>
        <v>0</v>
      </c>
      <c r="HH56" s="25">
        <f t="shared" ref="HH56" si="1149">SUM(HH55)</f>
        <v>0</v>
      </c>
      <c r="HI56" s="39" t="str">
        <f>IF(SUM(HI55)=0,"",SUM(HI55)/COUNT(HI55))</f>
        <v/>
      </c>
      <c r="HJ56" s="25">
        <f>SUM(HJ55)</f>
        <v>0</v>
      </c>
      <c r="HK56" s="25">
        <f t="shared" ref="HK56:HQ56" si="1150">SUM(HK55)</f>
        <v>0</v>
      </c>
      <c r="HL56" s="25">
        <f t="shared" si="1150"/>
        <v>0</v>
      </c>
      <c r="HM56" s="25">
        <f t="shared" si="1150"/>
        <v>0</v>
      </c>
      <c r="HN56" s="25">
        <f t="shared" si="1150"/>
        <v>0</v>
      </c>
      <c r="HO56" s="25">
        <f t="shared" si="1150"/>
        <v>0</v>
      </c>
      <c r="HP56" s="25">
        <f t="shared" si="1150"/>
        <v>0</v>
      </c>
      <c r="HQ56" s="25">
        <f t="shared" si="1150"/>
        <v>0</v>
      </c>
      <c r="HR56" s="39" t="str">
        <f>IF(SUM(HR55)=0,"",SUM(HR55)/COUNT(HR55))</f>
        <v/>
      </c>
      <c r="HS56" s="25">
        <f>SUM(HS55)</f>
        <v>0</v>
      </c>
      <c r="HT56" s="25">
        <f t="shared" ref="HT56:HZ56" si="1151">SUM(HT55)</f>
        <v>0</v>
      </c>
      <c r="HU56" s="25">
        <f t="shared" si="1151"/>
        <v>0</v>
      </c>
      <c r="HV56" s="25">
        <f t="shared" si="1151"/>
        <v>0</v>
      </c>
      <c r="HW56" s="25">
        <f t="shared" si="1151"/>
        <v>0</v>
      </c>
      <c r="HX56" s="25">
        <f t="shared" si="1151"/>
        <v>0</v>
      </c>
      <c r="HY56" s="25">
        <f t="shared" si="1151"/>
        <v>0</v>
      </c>
      <c r="HZ56" s="25">
        <f t="shared" si="1151"/>
        <v>0</v>
      </c>
      <c r="IA56" s="39" t="str">
        <f>IF(SUM(IA55)=0,"",SUM(IA55)/COUNT(IA55))</f>
        <v/>
      </c>
      <c r="IB56" s="25">
        <f>SUM(IB55)</f>
        <v>0</v>
      </c>
      <c r="IC56" s="25">
        <f t="shared" ref="IC56:II56" si="1152">SUM(IC55)</f>
        <v>0</v>
      </c>
      <c r="ID56" s="25">
        <f t="shared" si="1152"/>
        <v>0</v>
      </c>
      <c r="IE56" s="25">
        <f t="shared" si="1152"/>
        <v>0</v>
      </c>
      <c r="IF56" s="25">
        <f t="shared" si="1152"/>
        <v>0</v>
      </c>
      <c r="IG56" s="25">
        <f t="shared" si="1152"/>
        <v>0</v>
      </c>
      <c r="IH56" s="25">
        <f t="shared" si="1152"/>
        <v>0</v>
      </c>
      <c r="II56" s="25">
        <f t="shared" si="1152"/>
        <v>0</v>
      </c>
      <c r="IJ56" s="39" t="str">
        <f>IF(SUM(IJ55)=0,"",SUM(IJ55)/COUNT(IJ55))</f>
        <v/>
      </c>
      <c r="IK56" s="25">
        <f>SUM(IK55)</f>
        <v>0</v>
      </c>
      <c r="IL56" s="25">
        <f t="shared" ref="IL56:IR56" si="1153">SUM(IL55)</f>
        <v>0</v>
      </c>
      <c r="IM56" s="25">
        <f t="shared" si="1153"/>
        <v>0</v>
      </c>
      <c r="IN56" s="25">
        <f t="shared" si="1153"/>
        <v>0</v>
      </c>
      <c r="IO56" s="25">
        <f t="shared" si="1153"/>
        <v>0</v>
      </c>
      <c r="IP56" s="25">
        <f t="shared" si="1153"/>
        <v>0</v>
      </c>
      <c r="IQ56" s="25">
        <f t="shared" si="1153"/>
        <v>0</v>
      </c>
      <c r="IR56" s="25">
        <f t="shared" si="1153"/>
        <v>0</v>
      </c>
      <c r="IS56" s="39" t="str">
        <f>IF(SUM(IS55)=0,"",SUM(IS55)/COUNT(IS55))</f>
        <v/>
      </c>
      <c r="IT56" s="25">
        <f>SUM(IT55)</f>
        <v>0</v>
      </c>
      <c r="IU56" s="25">
        <f t="shared" ref="IU56:JA56" si="1154">SUM(IU55)</f>
        <v>0</v>
      </c>
      <c r="IV56" s="25">
        <f t="shared" si="1154"/>
        <v>0</v>
      </c>
      <c r="IW56" s="25">
        <f t="shared" si="1154"/>
        <v>0</v>
      </c>
      <c r="IX56" s="25">
        <f t="shared" si="1154"/>
        <v>0</v>
      </c>
      <c r="IY56" s="25">
        <f t="shared" si="1154"/>
        <v>0</v>
      </c>
      <c r="IZ56" s="25">
        <f t="shared" si="1154"/>
        <v>0</v>
      </c>
      <c r="JA56" s="25">
        <f t="shared" si="1154"/>
        <v>0</v>
      </c>
      <c r="JB56" s="39" t="str">
        <f>IF(SUM(JB55)=0,"",SUM(JB55)/COUNT(JB55))</f>
        <v/>
      </c>
      <c r="JC56" s="25">
        <f>SUM(JC55)</f>
        <v>0</v>
      </c>
      <c r="JD56" s="25">
        <f t="shared" ref="JD56:JJ56" si="1155">SUM(JD55)</f>
        <v>0</v>
      </c>
      <c r="JE56" s="25">
        <f t="shared" si="1155"/>
        <v>0</v>
      </c>
      <c r="JF56" s="25">
        <f t="shared" si="1155"/>
        <v>0</v>
      </c>
      <c r="JG56" s="25">
        <f t="shared" si="1155"/>
        <v>0</v>
      </c>
      <c r="JH56" s="25">
        <f t="shared" si="1155"/>
        <v>0</v>
      </c>
      <c r="JI56" s="25">
        <f t="shared" si="1155"/>
        <v>0</v>
      </c>
      <c r="JJ56" s="25">
        <f t="shared" si="1155"/>
        <v>0</v>
      </c>
      <c r="JK56" s="39" t="str">
        <f>IF(SUM(JK55)=0,"",SUM(JK55)/COUNT(JK55))</f>
        <v/>
      </c>
      <c r="JL56" s="25">
        <f>SUM(JL55)</f>
        <v>0</v>
      </c>
      <c r="JM56" s="25">
        <f t="shared" ref="JM56:JS56" si="1156">SUM(JM55)</f>
        <v>0</v>
      </c>
      <c r="JN56" s="25">
        <f t="shared" si="1156"/>
        <v>0</v>
      </c>
      <c r="JO56" s="25">
        <f t="shared" si="1156"/>
        <v>0</v>
      </c>
      <c r="JP56" s="25">
        <f t="shared" si="1156"/>
        <v>0</v>
      </c>
      <c r="JQ56" s="25">
        <f t="shared" si="1156"/>
        <v>0</v>
      </c>
      <c r="JR56" s="25">
        <f t="shared" si="1156"/>
        <v>0</v>
      </c>
      <c r="JS56" s="25">
        <f t="shared" si="1156"/>
        <v>0</v>
      </c>
      <c r="JT56" s="39" t="str">
        <f>IF(SUM(JT55)=0,"",SUM(JT55)/COUNT(JT55))</f>
        <v/>
      </c>
      <c r="JU56" s="25">
        <f>SUM(JU55)</f>
        <v>0</v>
      </c>
      <c r="JV56" s="25">
        <f t="shared" ref="JV56:KB56" si="1157">SUM(JV55)</f>
        <v>0</v>
      </c>
      <c r="JW56" s="25">
        <f t="shared" si="1157"/>
        <v>0</v>
      </c>
      <c r="JX56" s="25">
        <f t="shared" si="1157"/>
        <v>0</v>
      </c>
      <c r="JY56" s="25">
        <f t="shared" si="1157"/>
        <v>0</v>
      </c>
      <c r="JZ56" s="25">
        <f t="shared" si="1157"/>
        <v>0</v>
      </c>
      <c r="KA56" s="25">
        <f t="shared" si="1157"/>
        <v>0</v>
      </c>
      <c r="KB56" s="25">
        <f t="shared" si="1157"/>
        <v>0</v>
      </c>
      <c r="KC56" s="39" t="str">
        <f>IF(SUM(KC55)=0,"",SUM(KC55)/COUNT(KC55))</f>
        <v/>
      </c>
      <c r="KD56" s="25">
        <f>SUM(KD55)</f>
        <v>0</v>
      </c>
      <c r="KE56" s="25">
        <f t="shared" ref="KE56:KK56" si="1158">SUM(KE55)</f>
        <v>0</v>
      </c>
      <c r="KF56" s="25">
        <f t="shared" si="1158"/>
        <v>0</v>
      </c>
      <c r="KG56" s="25">
        <f t="shared" si="1158"/>
        <v>0</v>
      </c>
      <c r="KH56" s="25">
        <f t="shared" si="1158"/>
        <v>0</v>
      </c>
      <c r="KI56" s="25">
        <f t="shared" si="1158"/>
        <v>0</v>
      </c>
      <c r="KJ56" s="25">
        <f t="shared" si="1158"/>
        <v>0</v>
      </c>
      <c r="KK56" s="25">
        <f t="shared" si="1158"/>
        <v>0</v>
      </c>
      <c r="KL56" s="39" t="str">
        <f>IF(SUM(KL55)=0,"",SUM(KL55)/COUNT(KL55))</f>
        <v/>
      </c>
      <c r="KM56" s="25">
        <f>SUM(KM55)</f>
        <v>0</v>
      </c>
      <c r="KN56" s="25">
        <f t="shared" ref="KN56:KT56" si="1159">SUM(KN55)</f>
        <v>0</v>
      </c>
      <c r="KO56" s="25">
        <f t="shared" si="1159"/>
        <v>0</v>
      </c>
      <c r="KP56" s="25">
        <f t="shared" si="1159"/>
        <v>0</v>
      </c>
      <c r="KQ56" s="25">
        <f t="shared" si="1159"/>
        <v>0</v>
      </c>
      <c r="KR56" s="25">
        <f t="shared" si="1159"/>
        <v>0</v>
      </c>
      <c r="KS56" s="25">
        <f t="shared" si="1159"/>
        <v>0</v>
      </c>
      <c r="KT56" s="25">
        <f t="shared" si="1159"/>
        <v>0</v>
      </c>
      <c r="KU56" s="39" t="str">
        <f>IF(SUM(KU55)=0,"",SUM(KU55)/COUNT(KU55))</f>
        <v/>
      </c>
      <c r="KV56" s="25">
        <f>SUM(KV55)</f>
        <v>0</v>
      </c>
      <c r="KW56" s="25">
        <f t="shared" ref="KW56:LC56" si="1160">SUM(KW55)</f>
        <v>0</v>
      </c>
      <c r="KX56" s="25">
        <f t="shared" si="1160"/>
        <v>0</v>
      </c>
      <c r="KY56" s="25">
        <f t="shared" si="1160"/>
        <v>0</v>
      </c>
      <c r="KZ56" s="25">
        <f t="shared" si="1160"/>
        <v>0</v>
      </c>
      <c r="LA56" s="25">
        <f t="shared" si="1160"/>
        <v>0</v>
      </c>
      <c r="LB56" s="25">
        <f t="shared" si="1160"/>
        <v>0</v>
      </c>
      <c r="LC56" s="25">
        <f t="shared" si="1160"/>
        <v>0</v>
      </c>
      <c r="LD56" s="39" t="str">
        <f>IF(SUM(LD55)=0,"",SUM(LD55)/COUNT(LD55))</f>
        <v/>
      </c>
      <c r="LE56" s="25">
        <f>SUM(LE55)</f>
        <v>0</v>
      </c>
      <c r="LF56" s="25">
        <f t="shared" ref="LF56:LL56" si="1161">SUM(LF55)</f>
        <v>0</v>
      </c>
      <c r="LG56" s="25">
        <f t="shared" si="1161"/>
        <v>0</v>
      </c>
      <c r="LH56" s="25">
        <f t="shared" si="1161"/>
        <v>0</v>
      </c>
      <c r="LI56" s="25">
        <f t="shared" si="1161"/>
        <v>0</v>
      </c>
      <c r="LJ56" s="25">
        <f t="shared" si="1161"/>
        <v>0</v>
      </c>
      <c r="LK56" s="25">
        <f t="shared" si="1161"/>
        <v>0</v>
      </c>
      <c r="LL56" s="25">
        <f t="shared" si="1161"/>
        <v>0</v>
      </c>
      <c r="LM56" s="39" t="str">
        <f>IF(SUM(LM55)=0,"",SUM(LM55)/COUNT(LM55))</f>
        <v/>
      </c>
      <c r="LN56" s="25">
        <f>SUM(LN55)</f>
        <v>0</v>
      </c>
      <c r="LO56" s="25">
        <f t="shared" ref="LO56:LU56" si="1162">SUM(LO55)</f>
        <v>0</v>
      </c>
      <c r="LP56" s="25">
        <f t="shared" si="1162"/>
        <v>0</v>
      </c>
      <c r="LQ56" s="25">
        <f t="shared" si="1162"/>
        <v>0</v>
      </c>
      <c r="LR56" s="25">
        <f t="shared" si="1162"/>
        <v>0</v>
      </c>
      <c r="LS56" s="25">
        <f t="shared" si="1162"/>
        <v>0</v>
      </c>
      <c r="LT56" s="25">
        <f t="shared" si="1162"/>
        <v>0</v>
      </c>
      <c r="LU56" s="25">
        <f t="shared" si="1162"/>
        <v>0</v>
      </c>
      <c r="LV56" s="39" t="str">
        <f>IF(SUM(LV55)=0,"",SUM(LV55)/COUNT(LV55))</f>
        <v/>
      </c>
      <c r="LW56" s="25">
        <f>SUM(LW55)</f>
        <v>0</v>
      </c>
      <c r="LX56" s="25">
        <f t="shared" ref="LX56:MD56" si="1163">SUM(LX55)</f>
        <v>0</v>
      </c>
      <c r="LY56" s="25">
        <f t="shared" si="1163"/>
        <v>0</v>
      </c>
      <c r="LZ56" s="25">
        <f t="shared" si="1163"/>
        <v>0</v>
      </c>
      <c r="MA56" s="25">
        <f t="shared" si="1163"/>
        <v>0</v>
      </c>
      <c r="MB56" s="25">
        <f t="shared" si="1163"/>
        <v>0</v>
      </c>
      <c r="MC56" s="25">
        <f t="shared" si="1163"/>
        <v>0</v>
      </c>
      <c r="MD56" s="25">
        <f t="shared" si="1163"/>
        <v>0</v>
      </c>
      <c r="ME56" s="39" t="str">
        <f>IF(SUM(ME55)=0,"",SUM(ME55)/COUNT(ME55))</f>
        <v/>
      </c>
      <c r="MF56" s="25">
        <f>SUM(MF55)</f>
        <v>0</v>
      </c>
      <c r="MG56" s="25">
        <f t="shared" ref="MG56:MM56" si="1164">SUM(MG55)</f>
        <v>0</v>
      </c>
      <c r="MH56" s="25">
        <f t="shared" si="1164"/>
        <v>0</v>
      </c>
      <c r="MI56" s="25">
        <f t="shared" si="1164"/>
        <v>0</v>
      </c>
      <c r="MJ56" s="25">
        <f t="shared" si="1164"/>
        <v>0</v>
      </c>
      <c r="MK56" s="25">
        <f t="shared" si="1164"/>
        <v>0</v>
      </c>
      <c r="ML56" s="25">
        <f t="shared" si="1164"/>
        <v>0</v>
      </c>
      <c r="MM56" s="25">
        <f t="shared" si="1164"/>
        <v>0</v>
      </c>
      <c r="MN56" s="39" t="str">
        <f>IF(SUM(MN55)=0,"",SUM(MN55)/COUNT(MN55))</f>
        <v/>
      </c>
      <c r="MO56" s="25">
        <f>SUM(MO55)</f>
        <v>0</v>
      </c>
      <c r="MP56" s="25">
        <f t="shared" ref="MP56:MV56" si="1165">SUM(MP55)</f>
        <v>0</v>
      </c>
      <c r="MQ56" s="25">
        <f t="shared" si="1165"/>
        <v>0</v>
      </c>
      <c r="MR56" s="25">
        <f t="shared" si="1165"/>
        <v>0</v>
      </c>
      <c r="MS56" s="25">
        <f t="shared" si="1165"/>
        <v>0</v>
      </c>
      <c r="MT56" s="25">
        <f t="shared" si="1165"/>
        <v>0</v>
      </c>
      <c r="MU56" s="25">
        <f t="shared" si="1165"/>
        <v>0</v>
      </c>
      <c r="MV56" s="25">
        <f t="shared" si="1165"/>
        <v>0</v>
      </c>
      <c r="MW56" s="39" t="str">
        <f>IF(SUM(MW55)=0,"",SUM(MW55)/COUNT(MW55))</f>
        <v/>
      </c>
      <c r="MX56" s="25">
        <f>SUM(MX55)</f>
        <v>0</v>
      </c>
      <c r="MY56" s="25">
        <f t="shared" ref="MY56:NE56" si="1166">SUM(MY55)</f>
        <v>0</v>
      </c>
      <c r="MZ56" s="25">
        <f t="shared" si="1166"/>
        <v>0</v>
      </c>
      <c r="NA56" s="25">
        <f t="shared" si="1166"/>
        <v>0</v>
      </c>
      <c r="NB56" s="25">
        <f t="shared" si="1166"/>
        <v>0</v>
      </c>
      <c r="NC56" s="25">
        <f t="shared" si="1166"/>
        <v>0</v>
      </c>
      <c r="ND56" s="25">
        <f t="shared" si="1166"/>
        <v>0</v>
      </c>
      <c r="NE56" s="25">
        <f t="shared" si="1166"/>
        <v>0</v>
      </c>
      <c r="NF56" s="39" t="str">
        <f>IF(SUM(NF55)=0,"",SUM(NF55)/COUNT(NF55))</f>
        <v/>
      </c>
      <c r="NG56" s="25">
        <f>SUM(NG55)</f>
        <v>0</v>
      </c>
      <c r="NH56" s="25">
        <f t="shared" ref="NH56:NN56" si="1167">SUM(NH55)</f>
        <v>0</v>
      </c>
      <c r="NI56" s="25">
        <f t="shared" si="1167"/>
        <v>0</v>
      </c>
      <c r="NJ56" s="25">
        <f t="shared" si="1167"/>
        <v>0</v>
      </c>
      <c r="NK56" s="25">
        <f t="shared" si="1167"/>
        <v>0</v>
      </c>
      <c r="NL56" s="25">
        <f t="shared" si="1167"/>
        <v>0</v>
      </c>
      <c r="NM56" s="25">
        <f t="shared" si="1167"/>
        <v>0</v>
      </c>
      <c r="NN56" s="25">
        <f t="shared" si="1167"/>
        <v>0</v>
      </c>
      <c r="NO56" s="39" t="str">
        <f>IF(SUM(NO55)=0,"",SUM(NO55)/COUNT(NO55))</f>
        <v/>
      </c>
      <c r="NP56" s="25">
        <f>SUM(NP55)</f>
        <v>0</v>
      </c>
      <c r="NQ56" s="25">
        <f t="shared" ref="NQ56:NW56" si="1168">SUM(NQ55)</f>
        <v>0</v>
      </c>
      <c r="NR56" s="25">
        <f t="shared" si="1168"/>
        <v>0</v>
      </c>
      <c r="NS56" s="25">
        <f t="shared" si="1168"/>
        <v>0</v>
      </c>
      <c r="NT56" s="25">
        <f t="shared" si="1168"/>
        <v>0</v>
      </c>
      <c r="NU56" s="25">
        <f t="shared" si="1168"/>
        <v>0</v>
      </c>
      <c r="NV56" s="25">
        <f t="shared" si="1168"/>
        <v>0</v>
      </c>
      <c r="NW56" s="25">
        <f t="shared" si="1168"/>
        <v>0</v>
      </c>
      <c r="NX56" s="39" t="str">
        <f>IF(SUM(NX55)=0,"",SUM(NX55)/COUNT(NX55))</f>
        <v/>
      </c>
      <c r="NY56" s="25">
        <f>SUM(NY55)</f>
        <v>0</v>
      </c>
      <c r="NZ56" s="25">
        <f t="shared" ref="NZ56:OF56" si="1169">SUM(NZ55)</f>
        <v>0</v>
      </c>
      <c r="OA56" s="25">
        <f t="shared" si="1169"/>
        <v>0</v>
      </c>
      <c r="OB56" s="25">
        <f t="shared" si="1169"/>
        <v>0</v>
      </c>
      <c r="OC56" s="25">
        <f t="shared" si="1169"/>
        <v>0</v>
      </c>
      <c r="OD56" s="25">
        <f t="shared" si="1169"/>
        <v>0</v>
      </c>
      <c r="OE56" s="25">
        <f t="shared" si="1169"/>
        <v>0</v>
      </c>
      <c r="OF56" s="25">
        <f t="shared" si="1169"/>
        <v>0</v>
      </c>
      <c r="OG56" s="39" t="str">
        <f>IF(SUM(OG55)=0,"",SUM(OG55)/COUNT(OG55))</f>
        <v/>
      </c>
      <c r="OH56" s="25">
        <f>SUM(OH55)</f>
        <v>0</v>
      </c>
      <c r="OI56" s="25">
        <f t="shared" ref="OI56:OO56" si="1170">SUM(OI55)</f>
        <v>0</v>
      </c>
      <c r="OJ56" s="25">
        <f t="shared" si="1170"/>
        <v>0</v>
      </c>
      <c r="OK56" s="25">
        <f t="shared" si="1170"/>
        <v>0</v>
      </c>
      <c r="OL56" s="25">
        <f t="shared" si="1170"/>
        <v>0</v>
      </c>
      <c r="OM56" s="25">
        <f t="shared" si="1170"/>
        <v>0</v>
      </c>
      <c r="ON56" s="25">
        <f t="shared" si="1170"/>
        <v>0</v>
      </c>
      <c r="OO56" s="25">
        <f t="shared" si="1170"/>
        <v>0</v>
      </c>
      <c r="OP56" s="39" t="str">
        <f>IF(SUM(OP55)=0,"",SUM(OP55)/COUNT(OP55))</f>
        <v/>
      </c>
      <c r="OQ56" s="25">
        <f>SUM(OQ55)</f>
        <v>0</v>
      </c>
      <c r="OR56" s="25">
        <f t="shared" ref="OR56:OX56" si="1171">SUM(OR55)</f>
        <v>0</v>
      </c>
      <c r="OS56" s="25">
        <f t="shared" si="1171"/>
        <v>0</v>
      </c>
      <c r="OT56" s="25">
        <f t="shared" si="1171"/>
        <v>0</v>
      </c>
      <c r="OU56" s="25">
        <f t="shared" si="1171"/>
        <v>0</v>
      </c>
      <c r="OV56" s="25">
        <f t="shared" si="1171"/>
        <v>0</v>
      </c>
      <c r="OW56" s="25">
        <f t="shared" si="1171"/>
        <v>0</v>
      </c>
      <c r="OX56" s="25">
        <f t="shared" si="1171"/>
        <v>0</v>
      </c>
      <c r="OY56" s="39" t="str">
        <f>IF(SUM(OY55)=0,"",SUM(OY55)/COUNT(OY55))</f>
        <v/>
      </c>
      <c r="OZ56" s="27">
        <f>SUM(OZ55)</f>
        <v>0</v>
      </c>
      <c r="PA56" s="27">
        <f t="shared" ref="PA56:PG56" si="1172">SUM(PA55)</f>
        <v>0</v>
      </c>
      <c r="PB56" s="27">
        <f t="shared" si="1172"/>
        <v>0</v>
      </c>
      <c r="PC56" s="27">
        <f t="shared" si="1172"/>
        <v>0</v>
      </c>
      <c r="PD56" s="27">
        <f t="shared" si="1172"/>
        <v>0</v>
      </c>
      <c r="PE56" s="27">
        <f t="shared" si="1172"/>
        <v>0</v>
      </c>
      <c r="PF56" s="27">
        <f t="shared" si="1172"/>
        <v>0</v>
      </c>
      <c r="PG56" s="27">
        <f t="shared" si="1172"/>
        <v>0</v>
      </c>
      <c r="PH56" s="28" t="str">
        <f>IF(SUM(PH55)=0,"",SUM(PH55)/COUNT(PH55))</f>
        <v/>
      </c>
    </row>
    <row r="57" spans="1:424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  <c r="K57" s="24">
        <v>8</v>
      </c>
      <c r="L57" s="24">
        <v>15231000</v>
      </c>
      <c r="M57" s="24">
        <v>6</v>
      </c>
      <c r="N57" s="24">
        <v>12000000</v>
      </c>
      <c r="O57" s="24">
        <v>18</v>
      </c>
      <c r="P57" s="24">
        <v>20000000</v>
      </c>
      <c r="Q57" s="24">
        <v>24000000</v>
      </c>
      <c r="R57" s="24">
        <v>1920000</v>
      </c>
      <c r="S57" s="38">
        <v>0.08</v>
      </c>
      <c r="T57" s="24"/>
      <c r="U57" s="24"/>
      <c r="V57" s="24"/>
      <c r="W57" s="24"/>
      <c r="X57" s="24"/>
      <c r="Y57" s="24"/>
      <c r="Z57" s="24"/>
      <c r="AA57" s="24"/>
      <c r="AB57" s="38"/>
      <c r="AC57" s="24"/>
      <c r="AD57" s="24"/>
      <c r="AE57" s="24"/>
      <c r="AF57" s="24"/>
      <c r="AG57" s="24"/>
      <c r="AH57" s="24"/>
      <c r="AI57" s="24"/>
      <c r="AJ57" s="24"/>
      <c r="AK57" s="38"/>
      <c r="AL57" s="24"/>
      <c r="AM57" s="24"/>
      <c r="AN57" s="24"/>
      <c r="AO57" s="24"/>
      <c r="AP57" s="24"/>
      <c r="AQ57" s="24"/>
      <c r="AR57" s="24"/>
      <c r="AS57" s="24"/>
      <c r="AT57" s="38"/>
      <c r="AU57" s="24"/>
      <c r="AV57" s="24"/>
      <c r="AW57" s="24"/>
      <c r="AX57" s="24"/>
      <c r="AY57" s="24"/>
      <c r="AZ57" s="24"/>
      <c r="BA57" s="24"/>
      <c r="BB57" s="24"/>
      <c r="BC57" s="38"/>
      <c r="BD57" s="24"/>
      <c r="BE57" s="24"/>
      <c r="BF57" s="24"/>
      <c r="BG57" s="24"/>
      <c r="BH57" s="24"/>
      <c r="BI57" s="24"/>
      <c r="BJ57" s="24"/>
      <c r="BK57" s="24"/>
      <c r="BL57" s="38"/>
      <c r="BM57" s="24"/>
      <c r="BN57" s="24"/>
      <c r="BO57" s="24"/>
      <c r="BP57" s="24"/>
      <c r="BQ57" s="24"/>
      <c r="BR57" s="24"/>
      <c r="BS57" s="24"/>
      <c r="BT57" s="24"/>
      <c r="BU57" s="38"/>
      <c r="BV57" s="24"/>
      <c r="BW57" s="24"/>
      <c r="BX57" s="24"/>
      <c r="BY57" s="24"/>
      <c r="BZ57" s="24"/>
      <c r="CA57" s="24"/>
      <c r="CB57" s="24"/>
      <c r="CC57" s="24"/>
      <c r="CD57" s="38"/>
      <c r="CE57" s="24"/>
      <c r="CF57" s="24"/>
      <c r="CG57" s="24"/>
      <c r="CH57" s="24"/>
      <c r="CI57" s="24"/>
      <c r="CJ57" s="24"/>
      <c r="CK57" s="24"/>
      <c r="CL57" s="24"/>
      <c r="CM57" s="38"/>
      <c r="CN57" s="24"/>
      <c r="CO57" s="24"/>
      <c r="CP57" s="24"/>
      <c r="CQ57" s="24"/>
      <c r="CR57" s="24"/>
      <c r="CS57" s="24">
        <v>18523000</v>
      </c>
      <c r="CT57" s="24"/>
      <c r="CU57" s="24"/>
      <c r="CV57" s="38"/>
      <c r="CW57" s="24"/>
      <c r="CX57" s="24"/>
      <c r="CY57" s="24"/>
      <c r="CZ57" s="24"/>
      <c r="DA57" s="24"/>
      <c r="DB57" s="24"/>
      <c r="DC57" s="24"/>
      <c r="DD57" s="24"/>
      <c r="DE57" s="38"/>
      <c r="DF57" s="24"/>
      <c r="DG57" s="24"/>
      <c r="DH57" s="24"/>
      <c r="DI57" s="24"/>
      <c r="DJ57" s="24"/>
      <c r="DK57" s="24"/>
      <c r="DL57" s="24"/>
      <c r="DM57" s="24"/>
      <c r="DN57" s="38"/>
      <c r="DO57" s="24"/>
      <c r="DP57" s="24"/>
      <c r="DQ57" s="24"/>
      <c r="DR57" s="24"/>
      <c r="DS57" s="24"/>
      <c r="DT57" s="24"/>
      <c r="DU57" s="24"/>
      <c r="DV57" s="24"/>
      <c r="DW57" s="38"/>
      <c r="DX57" s="24"/>
      <c r="DY57" s="24"/>
      <c r="DZ57" s="24"/>
      <c r="EA57" s="24"/>
      <c r="EB57" s="24"/>
      <c r="EC57" s="24"/>
      <c r="ED57" s="24"/>
      <c r="EE57" s="24"/>
      <c r="EF57" s="38"/>
      <c r="EG57" s="24"/>
      <c r="EH57" s="24"/>
      <c r="EI57" s="24"/>
      <c r="EJ57" s="24"/>
      <c r="EK57" s="24"/>
      <c r="EL57" s="24"/>
      <c r="EM57" s="24"/>
      <c r="EN57" s="24"/>
      <c r="EO57" s="38"/>
      <c r="EP57" s="24"/>
      <c r="EQ57" s="24"/>
      <c r="ER57" s="24"/>
      <c r="ES57" s="24"/>
      <c r="ET57" s="24"/>
      <c r="EU57" s="24"/>
      <c r="EV57" s="24"/>
      <c r="EW57" s="24"/>
      <c r="EX57" s="38"/>
      <c r="EY57" s="24"/>
      <c r="EZ57" s="24"/>
      <c r="FA57" s="24"/>
      <c r="FB57" s="24"/>
      <c r="FC57" s="24"/>
      <c r="FD57" s="24"/>
      <c r="FE57" s="24"/>
      <c r="FF57" s="24"/>
      <c r="FG57" s="38"/>
      <c r="FH57" s="24"/>
      <c r="FI57" s="24"/>
      <c r="FJ57" s="24"/>
      <c r="FK57" s="24"/>
      <c r="FL57" s="24"/>
      <c r="FM57" s="24"/>
      <c r="FN57" s="24"/>
      <c r="FO57" s="24"/>
      <c r="FP57" s="38"/>
      <c r="FQ57" s="24"/>
      <c r="FR57" s="24"/>
      <c r="FS57" s="24"/>
      <c r="FT57" s="24"/>
      <c r="FU57" s="24"/>
      <c r="FV57" s="24"/>
      <c r="FW57" s="24"/>
      <c r="FX57" s="24"/>
      <c r="FY57" s="38"/>
      <c r="FZ57" s="24"/>
      <c r="GA57" s="24"/>
      <c r="GB57" s="24"/>
      <c r="GC57" s="24"/>
      <c r="GD57" s="24"/>
      <c r="GE57" s="24"/>
      <c r="GF57" s="24"/>
      <c r="GG57" s="24"/>
      <c r="GH57" s="38"/>
      <c r="GI57" s="24"/>
      <c r="GJ57" s="24"/>
      <c r="GK57" s="24"/>
      <c r="GL57" s="24"/>
      <c r="GM57" s="24"/>
      <c r="GN57" s="24"/>
      <c r="GO57" s="24"/>
      <c r="GP57" s="24"/>
      <c r="GQ57" s="38"/>
      <c r="GR57" s="24"/>
      <c r="GS57" s="24"/>
      <c r="GT57" s="24"/>
      <c r="GU57" s="24"/>
      <c r="GV57" s="24"/>
      <c r="GW57" s="24"/>
      <c r="GX57" s="24"/>
      <c r="GY57" s="24"/>
      <c r="GZ57" s="38"/>
      <c r="HA57" s="24"/>
      <c r="HB57" s="24"/>
      <c r="HC57" s="24"/>
      <c r="HD57" s="24"/>
      <c r="HE57" s="24"/>
      <c r="HF57" s="24"/>
      <c r="HG57" s="24"/>
      <c r="HH57" s="24"/>
      <c r="HI57" s="38"/>
      <c r="HJ57" s="24"/>
      <c r="HK57" s="24"/>
      <c r="HL57" s="24"/>
      <c r="HM57" s="24"/>
      <c r="HN57" s="24"/>
      <c r="HO57" s="24"/>
      <c r="HP57" s="24"/>
      <c r="HQ57" s="24"/>
      <c r="HR57" s="38"/>
      <c r="HS57" s="24"/>
      <c r="HT57" s="24"/>
      <c r="HU57" s="24"/>
      <c r="HV57" s="24"/>
      <c r="HW57" s="24"/>
      <c r="HX57" s="24"/>
      <c r="HY57" s="24"/>
      <c r="HZ57" s="24"/>
      <c r="IA57" s="38"/>
      <c r="IB57" s="24"/>
      <c r="IC57" s="24"/>
      <c r="ID57" s="24"/>
      <c r="IE57" s="24"/>
      <c r="IF57" s="24"/>
      <c r="IG57" s="24"/>
      <c r="IH57" s="24"/>
      <c r="II57" s="24"/>
      <c r="IJ57" s="38"/>
      <c r="IK57" s="24"/>
      <c r="IL57" s="24"/>
      <c r="IM57" s="24"/>
      <c r="IN57" s="24"/>
      <c r="IO57" s="24"/>
      <c r="IP57" s="24"/>
      <c r="IQ57" s="24"/>
      <c r="IR57" s="24"/>
      <c r="IS57" s="38"/>
      <c r="IT57" s="24"/>
      <c r="IU57" s="24"/>
      <c r="IV57" s="24"/>
      <c r="IW57" s="24"/>
      <c r="IX57" s="24"/>
      <c r="IY57" s="24"/>
      <c r="IZ57" s="24"/>
      <c r="JA57" s="24"/>
      <c r="JB57" s="38"/>
      <c r="JC57" s="24"/>
      <c r="JD57" s="24"/>
      <c r="JE57" s="24"/>
      <c r="JF57" s="24"/>
      <c r="JG57" s="24"/>
      <c r="JH57" s="24"/>
      <c r="JI57" s="24"/>
      <c r="JJ57" s="24"/>
      <c r="JK57" s="38"/>
      <c r="JL57" s="24"/>
      <c r="JM57" s="24"/>
      <c r="JN57" s="24"/>
      <c r="JO57" s="24"/>
      <c r="JP57" s="24"/>
      <c r="JQ57" s="24"/>
      <c r="JR57" s="24"/>
      <c r="JS57" s="24"/>
      <c r="JT57" s="38"/>
      <c r="JU57" s="24"/>
      <c r="JV57" s="24"/>
      <c r="JW57" s="24"/>
      <c r="JX57" s="24"/>
      <c r="JY57" s="24"/>
      <c r="JZ57" s="24"/>
      <c r="KA57" s="24"/>
      <c r="KB57" s="24"/>
      <c r="KC57" s="38"/>
      <c r="KD57" s="24"/>
      <c r="KE57" s="24"/>
      <c r="KF57" s="24"/>
      <c r="KG57" s="24"/>
      <c r="KH57" s="24"/>
      <c r="KI57" s="24"/>
      <c r="KJ57" s="24"/>
      <c r="KK57" s="24"/>
      <c r="KL57" s="38"/>
      <c r="KM57" s="24"/>
      <c r="KN57" s="24"/>
      <c r="KO57" s="24"/>
      <c r="KP57" s="24"/>
      <c r="KQ57" s="24"/>
      <c r="KR57" s="24"/>
      <c r="KS57" s="24"/>
      <c r="KT57" s="24"/>
      <c r="KU57" s="38"/>
      <c r="KV57" s="24"/>
      <c r="KW57" s="24"/>
      <c r="KX57" s="24"/>
      <c r="KY57" s="24"/>
      <c r="KZ57" s="24"/>
      <c r="LA57" s="24"/>
      <c r="LB57" s="24"/>
      <c r="LC57" s="24"/>
      <c r="LD57" s="38"/>
      <c r="LE57" s="24"/>
      <c r="LF57" s="24"/>
      <c r="LG57" s="24"/>
      <c r="LH57" s="24"/>
      <c r="LI57" s="24"/>
      <c r="LJ57" s="24"/>
      <c r="LK57" s="24"/>
      <c r="LL57" s="24"/>
      <c r="LM57" s="38"/>
      <c r="LN57" s="24"/>
      <c r="LO57" s="24"/>
      <c r="LP57" s="24"/>
      <c r="LQ57" s="24"/>
      <c r="LR57" s="24"/>
      <c r="LS57" s="24"/>
      <c r="LT57" s="24"/>
      <c r="LU57" s="24"/>
      <c r="LV57" s="38"/>
      <c r="LW57" s="24"/>
      <c r="LX57" s="24"/>
      <c r="LY57" s="24"/>
      <c r="LZ57" s="24"/>
      <c r="MA57" s="24"/>
      <c r="MB57" s="24"/>
      <c r="MC57" s="24"/>
      <c r="MD57" s="24"/>
      <c r="ME57" s="38"/>
      <c r="MF57" s="24"/>
      <c r="MG57" s="24"/>
      <c r="MH57" s="24"/>
      <c r="MI57" s="24"/>
      <c r="MJ57" s="24"/>
      <c r="MK57" s="24"/>
      <c r="ML57" s="24"/>
      <c r="MM57" s="24"/>
      <c r="MN57" s="38"/>
      <c r="MO57" s="24"/>
      <c r="MP57" s="24"/>
      <c r="MQ57" s="24"/>
      <c r="MR57" s="24"/>
      <c r="MS57" s="24"/>
      <c r="MT57" s="24"/>
      <c r="MU57" s="24"/>
      <c r="MV57" s="24"/>
      <c r="MW57" s="38"/>
      <c r="MX57" s="24"/>
      <c r="MY57" s="24"/>
      <c r="MZ57" s="24"/>
      <c r="NA57" s="24"/>
      <c r="NB57" s="24"/>
      <c r="NC57" s="24"/>
      <c r="ND57" s="24"/>
      <c r="NE57" s="24"/>
      <c r="NF57" s="38"/>
      <c r="NG57" s="24"/>
      <c r="NH57" s="24"/>
      <c r="NI57" s="24"/>
      <c r="NJ57" s="24"/>
      <c r="NK57" s="24"/>
      <c r="NL57" s="24"/>
      <c r="NM57" s="24"/>
      <c r="NN57" s="24"/>
      <c r="NO57" s="38"/>
      <c r="NP57" s="24"/>
      <c r="NQ57" s="24"/>
      <c r="NR57" s="24"/>
      <c r="NS57" s="24"/>
      <c r="NT57" s="24"/>
      <c r="NU57" s="24"/>
      <c r="NV57" s="24"/>
      <c r="NW57" s="24"/>
      <c r="NX57" s="38"/>
      <c r="NY57" s="24"/>
      <c r="NZ57" s="24"/>
      <c r="OA57" s="24"/>
      <c r="OB57" s="24"/>
      <c r="OC57" s="24"/>
      <c r="OD57" s="24"/>
      <c r="OE57" s="24"/>
      <c r="OF57" s="24"/>
      <c r="OG57" s="38"/>
      <c r="OH57" s="24"/>
      <c r="OI57" s="24"/>
      <c r="OJ57" s="24"/>
      <c r="OK57" s="24"/>
      <c r="OL57" s="24"/>
      <c r="OM57" s="24"/>
      <c r="ON57" s="24"/>
      <c r="OO57" s="24"/>
      <c r="OP57" s="38"/>
      <c r="OQ57" s="24"/>
      <c r="OR57" s="24"/>
      <c r="OS57" s="24"/>
      <c r="OT57" s="24"/>
      <c r="OU57" s="24"/>
      <c r="OV57" s="24"/>
      <c r="OW57" s="24"/>
      <c r="OX57" s="24"/>
      <c r="OY57" s="38"/>
    </row>
    <row r="58" spans="1:424" s="26" customFormat="1" x14ac:dyDescent="0.2">
      <c r="A58" s="36" t="s">
        <v>73</v>
      </c>
      <c r="B58" s="25">
        <f>SUM(B57)</f>
        <v>0</v>
      </c>
      <c r="C58" s="25">
        <f t="shared" ref="C58" si="1173">SUM(C57)</f>
        <v>0</v>
      </c>
      <c r="D58" s="25">
        <f t="shared" ref="D58" si="1174">SUM(D57)</f>
        <v>0</v>
      </c>
      <c r="E58" s="25">
        <f t="shared" ref="E58" si="1175">SUM(E57)</f>
        <v>0</v>
      </c>
      <c r="F58" s="25">
        <f t="shared" ref="F58" si="1176">SUM(F57)</f>
        <v>0</v>
      </c>
      <c r="G58" s="25">
        <f t="shared" ref="G58" si="1177">SUM(G57)</f>
        <v>0</v>
      </c>
      <c r="H58" s="25">
        <f t="shared" ref="H58" si="1178">SUM(H57)</f>
        <v>0</v>
      </c>
      <c r="I58" s="25">
        <f t="shared" ref="I58" si="1179">SUM(I57)</f>
        <v>0</v>
      </c>
      <c r="J58" s="39" t="str">
        <f>IF(SUM(J57)=0,"",SUM(J57)/COUNT(J57))</f>
        <v/>
      </c>
      <c r="K58" s="25">
        <f>SUM(K57)</f>
        <v>8</v>
      </c>
      <c r="L58" s="25">
        <f t="shared" ref="L58" si="1180">SUM(L57)</f>
        <v>15231000</v>
      </c>
      <c r="M58" s="25">
        <f t="shared" ref="M58" si="1181">SUM(M57)</f>
        <v>6</v>
      </c>
      <c r="N58" s="25">
        <f t="shared" ref="N58" si="1182">SUM(N57)</f>
        <v>12000000</v>
      </c>
      <c r="O58" s="25">
        <f t="shared" ref="O58" si="1183">SUM(O57)</f>
        <v>18</v>
      </c>
      <c r="P58" s="25">
        <f t="shared" ref="P58" si="1184">SUM(P57)</f>
        <v>20000000</v>
      </c>
      <c r="Q58" s="25">
        <f t="shared" ref="Q58" si="1185">SUM(Q57)</f>
        <v>24000000</v>
      </c>
      <c r="R58" s="25">
        <f t="shared" ref="R58" si="1186">SUM(R57)</f>
        <v>1920000</v>
      </c>
      <c r="S58" s="39">
        <f>IF(SUM(S57)=0,"",SUM(S57)/COUNT(S57))</f>
        <v>0.08</v>
      </c>
      <c r="T58" s="25">
        <f>SUM(T57)</f>
        <v>0</v>
      </c>
      <c r="U58" s="25">
        <f t="shared" ref="U58" si="1187">SUM(U57)</f>
        <v>0</v>
      </c>
      <c r="V58" s="25">
        <f t="shared" ref="V58" si="1188">SUM(V57)</f>
        <v>0</v>
      </c>
      <c r="W58" s="25">
        <f t="shared" ref="W58" si="1189">SUM(W57)</f>
        <v>0</v>
      </c>
      <c r="X58" s="25">
        <f t="shared" ref="X58" si="1190">SUM(X57)</f>
        <v>0</v>
      </c>
      <c r="Y58" s="25">
        <f t="shared" ref="Y58" si="1191">SUM(Y57)</f>
        <v>0</v>
      </c>
      <c r="Z58" s="25">
        <f t="shared" ref="Z58" si="1192">SUM(Z57)</f>
        <v>0</v>
      </c>
      <c r="AA58" s="25">
        <f t="shared" ref="AA58" si="1193">SUM(AA57)</f>
        <v>0</v>
      </c>
      <c r="AB58" s="39" t="str">
        <f>IF(SUM(AB57)=0,"",SUM(AB57)/COUNT(AB57))</f>
        <v/>
      </c>
      <c r="AC58" s="25">
        <f>SUM(AC57)</f>
        <v>0</v>
      </c>
      <c r="AD58" s="25">
        <f t="shared" ref="AD58" si="1194">SUM(AD57)</f>
        <v>0</v>
      </c>
      <c r="AE58" s="25">
        <f t="shared" ref="AE58" si="1195">SUM(AE57)</f>
        <v>0</v>
      </c>
      <c r="AF58" s="25">
        <f t="shared" ref="AF58" si="1196">SUM(AF57)</f>
        <v>0</v>
      </c>
      <c r="AG58" s="25">
        <f t="shared" ref="AG58" si="1197">SUM(AG57)</f>
        <v>0</v>
      </c>
      <c r="AH58" s="25">
        <f t="shared" ref="AH58" si="1198">SUM(AH57)</f>
        <v>0</v>
      </c>
      <c r="AI58" s="25">
        <f t="shared" ref="AI58" si="1199">SUM(AI57)</f>
        <v>0</v>
      </c>
      <c r="AJ58" s="25">
        <f t="shared" ref="AJ58" si="1200">SUM(AJ57)</f>
        <v>0</v>
      </c>
      <c r="AK58" s="39" t="str">
        <f>IF(SUM(AK57)=0,"",SUM(AK57)/COUNT(AK57))</f>
        <v/>
      </c>
      <c r="AL58" s="25">
        <f>SUM(AL57)</f>
        <v>0</v>
      </c>
      <c r="AM58" s="25">
        <f t="shared" ref="AM58" si="1201">SUM(AM57)</f>
        <v>0</v>
      </c>
      <c r="AN58" s="25">
        <f t="shared" ref="AN58" si="1202">SUM(AN57)</f>
        <v>0</v>
      </c>
      <c r="AO58" s="25">
        <f t="shared" ref="AO58" si="1203">SUM(AO57)</f>
        <v>0</v>
      </c>
      <c r="AP58" s="25">
        <f t="shared" ref="AP58" si="1204">SUM(AP57)</f>
        <v>0</v>
      </c>
      <c r="AQ58" s="25">
        <f t="shared" ref="AQ58" si="1205">SUM(AQ57)</f>
        <v>0</v>
      </c>
      <c r="AR58" s="25">
        <f t="shared" ref="AR58" si="1206">SUM(AR57)</f>
        <v>0</v>
      </c>
      <c r="AS58" s="25">
        <f t="shared" ref="AS58" si="1207">SUM(AS57)</f>
        <v>0</v>
      </c>
      <c r="AT58" s="39" t="str">
        <f>IF(SUM(AT57)=0,"",SUM(AT57)/COUNT(AT57))</f>
        <v/>
      </c>
      <c r="AU58" s="25">
        <f>SUM(AU57)</f>
        <v>0</v>
      </c>
      <c r="AV58" s="25">
        <f t="shared" ref="AV58" si="1208">SUM(AV57)</f>
        <v>0</v>
      </c>
      <c r="AW58" s="25">
        <f t="shared" ref="AW58" si="1209">SUM(AW57)</f>
        <v>0</v>
      </c>
      <c r="AX58" s="25">
        <f t="shared" ref="AX58" si="1210">SUM(AX57)</f>
        <v>0</v>
      </c>
      <c r="AY58" s="25">
        <f t="shared" ref="AY58" si="1211">SUM(AY57)</f>
        <v>0</v>
      </c>
      <c r="AZ58" s="25">
        <f t="shared" ref="AZ58" si="1212">SUM(AZ57)</f>
        <v>0</v>
      </c>
      <c r="BA58" s="25">
        <f t="shared" ref="BA58" si="1213">SUM(BA57)</f>
        <v>0</v>
      </c>
      <c r="BB58" s="25">
        <f t="shared" ref="BB58" si="1214">SUM(BB57)</f>
        <v>0</v>
      </c>
      <c r="BC58" s="39" t="str">
        <f>IF(SUM(BC57)=0,"",SUM(BC57)/COUNT(BC57))</f>
        <v/>
      </c>
      <c r="BD58" s="25">
        <f>SUM(BD57)</f>
        <v>0</v>
      </c>
      <c r="BE58" s="25">
        <f t="shared" ref="BE58" si="1215">SUM(BE57)</f>
        <v>0</v>
      </c>
      <c r="BF58" s="25">
        <f t="shared" ref="BF58" si="1216">SUM(BF57)</f>
        <v>0</v>
      </c>
      <c r="BG58" s="25">
        <f t="shared" ref="BG58" si="1217">SUM(BG57)</f>
        <v>0</v>
      </c>
      <c r="BH58" s="25">
        <f t="shared" ref="BH58" si="1218">SUM(BH57)</f>
        <v>0</v>
      </c>
      <c r="BI58" s="25">
        <f t="shared" ref="BI58" si="1219">SUM(BI57)</f>
        <v>0</v>
      </c>
      <c r="BJ58" s="25">
        <f t="shared" ref="BJ58" si="1220">SUM(BJ57)</f>
        <v>0</v>
      </c>
      <c r="BK58" s="25">
        <f t="shared" ref="BK58" si="1221">SUM(BK57)</f>
        <v>0</v>
      </c>
      <c r="BL58" s="39" t="str">
        <f>IF(SUM(BL57)=0,"",SUM(BL57)/COUNT(BL57))</f>
        <v/>
      </c>
      <c r="BM58" s="25">
        <f>SUM(BM57)</f>
        <v>0</v>
      </c>
      <c r="BN58" s="25">
        <f t="shared" ref="BN58" si="1222">SUM(BN57)</f>
        <v>0</v>
      </c>
      <c r="BO58" s="25">
        <f t="shared" ref="BO58" si="1223">SUM(BO57)</f>
        <v>0</v>
      </c>
      <c r="BP58" s="25">
        <f t="shared" ref="BP58" si="1224">SUM(BP57)</f>
        <v>0</v>
      </c>
      <c r="BQ58" s="25">
        <f t="shared" ref="BQ58" si="1225">SUM(BQ57)</f>
        <v>0</v>
      </c>
      <c r="BR58" s="25">
        <f t="shared" ref="BR58" si="1226">SUM(BR57)</f>
        <v>0</v>
      </c>
      <c r="BS58" s="25">
        <f t="shared" ref="BS58" si="1227">SUM(BS57)</f>
        <v>0</v>
      </c>
      <c r="BT58" s="25">
        <f t="shared" ref="BT58" si="1228">SUM(BT57)</f>
        <v>0</v>
      </c>
      <c r="BU58" s="39" t="str">
        <f>IF(SUM(BU57)=0,"",SUM(BU57)/COUNT(BU57))</f>
        <v/>
      </c>
      <c r="BV58" s="25">
        <f>SUM(BV57)</f>
        <v>0</v>
      </c>
      <c r="BW58" s="25">
        <f t="shared" ref="BW58" si="1229">SUM(BW57)</f>
        <v>0</v>
      </c>
      <c r="BX58" s="25">
        <f t="shared" ref="BX58" si="1230">SUM(BX57)</f>
        <v>0</v>
      </c>
      <c r="BY58" s="25">
        <f t="shared" ref="BY58" si="1231">SUM(BY57)</f>
        <v>0</v>
      </c>
      <c r="BZ58" s="25">
        <f t="shared" ref="BZ58" si="1232">SUM(BZ57)</f>
        <v>0</v>
      </c>
      <c r="CA58" s="25">
        <f t="shared" ref="CA58" si="1233">SUM(CA57)</f>
        <v>0</v>
      </c>
      <c r="CB58" s="25">
        <f t="shared" ref="CB58" si="1234">SUM(CB57)</f>
        <v>0</v>
      </c>
      <c r="CC58" s="25">
        <f t="shared" ref="CC58" si="1235">SUM(CC57)</f>
        <v>0</v>
      </c>
      <c r="CD58" s="39" t="str">
        <f>IF(SUM(CD57)=0,"",SUM(CD57)/COUNT(CD57))</f>
        <v/>
      </c>
      <c r="CE58" s="25">
        <f>SUM(CE57)</f>
        <v>0</v>
      </c>
      <c r="CF58" s="25">
        <f t="shared" ref="CF58" si="1236">SUM(CF57)</f>
        <v>0</v>
      </c>
      <c r="CG58" s="25">
        <f t="shared" ref="CG58" si="1237">SUM(CG57)</f>
        <v>0</v>
      </c>
      <c r="CH58" s="25">
        <f t="shared" ref="CH58" si="1238">SUM(CH57)</f>
        <v>0</v>
      </c>
      <c r="CI58" s="25">
        <f t="shared" ref="CI58" si="1239">SUM(CI57)</f>
        <v>0</v>
      </c>
      <c r="CJ58" s="25">
        <f t="shared" ref="CJ58" si="1240">SUM(CJ57)</f>
        <v>0</v>
      </c>
      <c r="CK58" s="25">
        <f t="shared" ref="CK58" si="1241">SUM(CK57)</f>
        <v>0</v>
      </c>
      <c r="CL58" s="25">
        <f t="shared" ref="CL58" si="1242">SUM(CL57)</f>
        <v>0</v>
      </c>
      <c r="CM58" s="39" t="str">
        <f>IF(SUM(CM57)=0,"",SUM(CM57)/COUNT(CM57))</f>
        <v/>
      </c>
      <c r="CN58" s="25">
        <f>SUM(CN57)</f>
        <v>0</v>
      </c>
      <c r="CO58" s="25">
        <f t="shared" ref="CO58" si="1243">SUM(CO57)</f>
        <v>0</v>
      </c>
      <c r="CP58" s="25">
        <f t="shared" ref="CP58" si="1244">SUM(CP57)</f>
        <v>0</v>
      </c>
      <c r="CQ58" s="25">
        <f t="shared" ref="CQ58" si="1245">SUM(CQ57)</f>
        <v>0</v>
      </c>
      <c r="CR58" s="25">
        <f t="shared" ref="CR58" si="1246">SUM(CR57)</f>
        <v>0</v>
      </c>
      <c r="CS58" s="25">
        <f t="shared" ref="CS58" si="1247">SUM(CS57)</f>
        <v>18523000</v>
      </c>
      <c r="CT58" s="25">
        <f t="shared" ref="CT58" si="1248">SUM(CT57)</f>
        <v>0</v>
      </c>
      <c r="CU58" s="25">
        <f t="shared" ref="CU58" si="1249">SUM(CU57)</f>
        <v>0</v>
      </c>
      <c r="CV58" s="39" t="str">
        <f>IF(SUM(CV57)=0,"",SUM(CV57)/COUNT(CV57))</f>
        <v/>
      </c>
      <c r="CW58" s="25">
        <f>SUM(CW57)</f>
        <v>0</v>
      </c>
      <c r="CX58" s="25">
        <f t="shared" ref="CX58" si="1250">SUM(CX57)</f>
        <v>0</v>
      </c>
      <c r="CY58" s="25">
        <f t="shared" ref="CY58" si="1251">SUM(CY57)</f>
        <v>0</v>
      </c>
      <c r="CZ58" s="25">
        <f t="shared" ref="CZ58" si="1252">SUM(CZ57)</f>
        <v>0</v>
      </c>
      <c r="DA58" s="25">
        <f t="shared" ref="DA58" si="1253">SUM(DA57)</f>
        <v>0</v>
      </c>
      <c r="DB58" s="25">
        <f t="shared" ref="DB58" si="1254">SUM(DB57)</f>
        <v>0</v>
      </c>
      <c r="DC58" s="25">
        <f t="shared" ref="DC58" si="1255">SUM(DC57)</f>
        <v>0</v>
      </c>
      <c r="DD58" s="25">
        <f t="shared" ref="DD58" si="1256">SUM(DD57)</f>
        <v>0</v>
      </c>
      <c r="DE58" s="39" t="str">
        <f>IF(SUM(DE57)=0,"",SUM(DE57)/COUNT(DE57))</f>
        <v/>
      </c>
      <c r="DF58" s="25">
        <f>SUM(DF57)</f>
        <v>0</v>
      </c>
      <c r="DG58" s="25">
        <f t="shared" ref="DG58" si="1257">SUM(DG57)</f>
        <v>0</v>
      </c>
      <c r="DH58" s="25">
        <f t="shared" ref="DH58" si="1258">SUM(DH57)</f>
        <v>0</v>
      </c>
      <c r="DI58" s="25">
        <f t="shared" ref="DI58" si="1259">SUM(DI57)</f>
        <v>0</v>
      </c>
      <c r="DJ58" s="25">
        <f t="shared" ref="DJ58" si="1260">SUM(DJ57)</f>
        <v>0</v>
      </c>
      <c r="DK58" s="25">
        <f t="shared" ref="DK58" si="1261">SUM(DK57)</f>
        <v>0</v>
      </c>
      <c r="DL58" s="25">
        <f t="shared" ref="DL58" si="1262">SUM(DL57)</f>
        <v>0</v>
      </c>
      <c r="DM58" s="25">
        <f t="shared" ref="DM58" si="1263">SUM(DM57)</f>
        <v>0</v>
      </c>
      <c r="DN58" s="39" t="str">
        <f>IF(SUM(DN57)=0,"",SUM(DN57)/COUNT(DN57))</f>
        <v/>
      </c>
      <c r="DO58" s="25">
        <f>SUM(DO57)</f>
        <v>0</v>
      </c>
      <c r="DP58" s="25">
        <f t="shared" ref="DP58" si="1264">SUM(DP57)</f>
        <v>0</v>
      </c>
      <c r="DQ58" s="25">
        <f t="shared" ref="DQ58" si="1265">SUM(DQ57)</f>
        <v>0</v>
      </c>
      <c r="DR58" s="25">
        <f t="shared" ref="DR58" si="1266">SUM(DR57)</f>
        <v>0</v>
      </c>
      <c r="DS58" s="25">
        <f t="shared" ref="DS58" si="1267">SUM(DS57)</f>
        <v>0</v>
      </c>
      <c r="DT58" s="25">
        <f t="shared" ref="DT58" si="1268">SUM(DT57)</f>
        <v>0</v>
      </c>
      <c r="DU58" s="25">
        <f t="shared" ref="DU58" si="1269">SUM(DU57)</f>
        <v>0</v>
      </c>
      <c r="DV58" s="25">
        <f t="shared" ref="DV58" si="1270">SUM(DV57)</f>
        <v>0</v>
      </c>
      <c r="DW58" s="39" t="str">
        <f>IF(SUM(DW57)=0,"",SUM(DW57)/COUNT(DW57))</f>
        <v/>
      </c>
      <c r="DX58" s="25">
        <f>SUM(DX57)</f>
        <v>0</v>
      </c>
      <c r="DY58" s="25">
        <f t="shared" ref="DY58" si="1271">SUM(DY57)</f>
        <v>0</v>
      </c>
      <c r="DZ58" s="25">
        <f t="shared" ref="DZ58" si="1272">SUM(DZ57)</f>
        <v>0</v>
      </c>
      <c r="EA58" s="25">
        <f t="shared" ref="EA58" si="1273">SUM(EA57)</f>
        <v>0</v>
      </c>
      <c r="EB58" s="25">
        <f t="shared" ref="EB58" si="1274">SUM(EB57)</f>
        <v>0</v>
      </c>
      <c r="EC58" s="25">
        <f t="shared" ref="EC58" si="1275">SUM(EC57)</f>
        <v>0</v>
      </c>
      <c r="ED58" s="25">
        <f t="shared" ref="ED58" si="1276">SUM(ED57)</f>
        <v>0</v>
      </c>
      <c r="EE58" s="25">
        <f t="shared" ref="EE58" si="1277">SUM(EE57)</f>
        <v>0</v>
      </c>
      <c r="EF58" s="39" t="str">
        <f>IF(SUM(EF57)=0,"",SUM(EF57)/COUNT(EF57))</f>
        <v/>
      </c>
      <c r="EG58" s="25">
        <f>SUM(EG57)</f>
        <v>0</v>
      </c>
      <c r="EH58" s="25">
        <f t="shared" ref="EH58" si="1278">SUM(EH57)</f>
        <v>0</v>
      </c>
      <c r="EI58" s="25">
        <f t="shared" ref="EI58" si="1279">SUM(EI57)</f>
        <v>0</v>
      </c>
      <c r="EJ58" s="25">
        <f t="shared" ref="EJ58" si="1280">SUM(EJ57)</f>
        <v>0</v>
      </c>
      <c r="EK58" s="25">
        <f t="shared" ref="EK58" si="1281">SUM(EK57)</f>
        <v>0</v>
      </c>
      <c r="EL58" s="25">
        <f t="shared" ref="EL58" si="1282">SUM(EL57)</f>
        <v>0</v>
      </c>
      <c r="EM58" s="25">
        <f t="shared" ref="EM58" si="1283">SUM(EM57)</f>
        <v>0</v>
      </c>
      <c r="EN58" s="25">
        <f t="shared" ref="EN58" si="1284">SUM(EN57)</f>
        <v>0</v>
      </c>
      <c r="EO58" s="39" t="str">
        <f>IF(SUM(EO57)=0,"",SUM(EO57)/COUNT(EO57))</f>
        <v/>
      </c>
      <c r="EP58" s="25">
        <f>SUM(EP57)</f>
        <v>0</v>
      </c>
      <c r="EQ58" s="25">
        <f t="shared" ref="EQ58" si="1285">SUM(EQ57)</f>
        <v>0</v>
      </c>
      <c r="ER58" s="25">
        <f t="shared" ref="ER58" si="1286">SUM(ER57)</f>
        <v>0</v>
      </c>
      <c r="ES58" s="25">
        <f t="shared" ref="ES58" si="1287">SUM(ES57)</f>
        <v>0</v>
      </c>
      <c r="ET58" s="25">
        <f t="shared" ref="ET58" si="1288">SUM(ET57)</f>
        <v>0</v>
      </c>
      <c r="EU58" s="25">
        <f t="shared" ref="EU58" si="1289">SUM(EU57)</f>
        <v>0</v>
      </c>
      <c r="EV58" s="25">
        <f t="shared" ref="EV58" si="1290">SUM(EV57)</f>
        <v>0</v>
      </c>
      <c r="EW58" s="25">
        <f t="shared" ref="EW58" si="1291">SUM(EW57)</f>
        <v>0</v>
      </c>
      <c r="EX58" s="39" t="str">
        <f>IF(SUM(EX57)=0,"",SUM(EX57)/COUNT(EX57))</f>
        <v/>
      </c>
      <c r="EY58" s="25">
        <f>SUM(EY57)</f>
        <v>0</v>
      </c>
      <c r="EZ58" s="25">
        <f t="shared" ref="EZ58" si="1292">SUM(EZ57)</f>
        <v>0</v>
      </c>
      <c r="FA58" s="25">
        <f t="shared" ref="FA58" si="1293">SUM(FA57)</f>
        <v>0</v>
      </c>
      <c r="FB58" s="25">
        <f t="shared" ref="FB58" si="1294">SUM(FB57)</f>
        <v>0</v>
      </c>
      <c r="FC58" s="25">
        <f t="shared" ref="FC58" si="1295">SUM(FC57)</f>
        <v>0</v>
      </c>
      <c r="FD58" s="25">
        <f t="shared" ref="FD58" si="1296">SUM(FD57)</f>
        <v>0</v>
      </c>
      <c r="FE58" s="25">
        <f t="shared" ref="FE58" si="1297">SUM(FE57)</f>
        <v>0</v>
      </c>
      <c r="FF58" s="25">
        <f t="shared" ref="FF58" si="1298">SUM(FF57)</f>
        <v>0</v>
      </c>
      <c r="FG58" s="39" t="str">
        <f>IF(SUM(FG57)=0,"",SUM(FG57)/COUNT(FG57))</f>
        <v/>
      </c>
      <c r="FH58" s="25">
        <f>SUM(FH57)</f>
        <v>0</v>
      </c>
      <c r="FI58" s="25">
        <f t="shared" ref="FI58" si="1299">SUM(FI57)</f>
        <v>0</v>
      </c>
      <c r="FJ58" s="25">
        <f t="shared" ref="FJ58" si="1300">SUM(FJ57)</f>
        <v>0</v>
      </c>
      <c r="FK58" s="25">
        <f t="shared" ref="FK58" si="1301">SUM(FK57)</f>
        <v>0</v>
      </c>
      <c r="FL58" s="25">
        <f t="shared" ref="FL58" si="1302">SUM(FL57)</f>
        <v>0</v>
      </c>
      <c r="FM58" s="25">
        <f t="shared" ref="FM58" si="1303">SUM(FM57)</f>
        <v>0</v>
      </c>
      <c r="FN58" s="25">
        <f t="shared" ref="FN58" si="1304">SUM(FN57)</f>
        <v>0</v>
      </c>
      <c r="FO58" s="25">
        <f t="shared" ref="FO58" si="1305">SUM(FO57)</f>
        <v>0</v>
      </c>
      <c r="FP58" s="39" t="str">
        <f>IF(SUM(FP57)=0,"",SUM(FP57)/COUNT(FP57))</f>
        <v/>
      </c>
      <c r="FQ58" s="25">
        <f>SUM(FQ57)</f>
        <v>0</v>
      </c>
      <c r="FR58" s="25">
        <f t="shared" ref="FR58" si="1306">SUM(FR57)</f>
        <v>0</v>
      </c>
      <c r="FS58" s="25">
        <f t="shared" ref="FS58" si="1307">SUM(FS57)</f>
        <v>0</v>
      </c>
      <c r="FT58" s="25">
        <f t="shared" ref="FT58" si="1308">SUM(FT57)</f>
        <v>0</v>
      </c>
      <c r="FU58" s="25">
        <f t="shared" ref="FU58" si="1309">SUM(FU57)</f>
        <v>0</v>
      </c>
      <c r="FV58" s="25">
        <f t="shared" ref="FV58" si="1310">SUM(FV57)</f>
        <v>0</v>
      </c>
      <c r="FW58" s="25">
        <f t="shared" ref="FW58" si="1311">SUM(FW57)</f>
        <v>0</v>
      </c>
      <c r="FX58" s="25">
        <f t="shared" ref="FX58" si="1312">SUM(FX57)</f>
        <v>0</v>
      </c>
      <c r="FY58" s="39" t="str">
        <f>IF(SUM(FY57)=0,"",SUM(FY57)/COUNT(FY57))</f>
        <v/>
      </c>
      <c r="FZ58" s="25">
        <f>SUM(FZ57)</f>
        <v>0</v>
      </c>
      <c r="GA58" s="25">
        <f t="shared" ref="GA58" si="1313">SUM(GA57)</f>
        <v>0</v>
      </c>
      <c r="GB58" s="25">
        <f t="shared" ref="GB58" si="1314">SUM(GB57)</f>
        <v>0</v>
      </c>
      <c r="GC58" s="25">
        <f t="shared" ref="GC58" si="1315">SUM(GC57)</f>
        <v>0</v>
      </c>
      <c r="GD58" s="25">
        <f t="shared" ref="GD58" si="1316">SUM(GD57)</f>
        <v>0</v>
      </c>
      <c r="GE58" s="25">
        <f t="shared" ref="GE58" si="1317">SUM(GE57)</f>
        <v>0</v>
      </c>
      <c r="GF58" s="25">
        <f t="shared" ref="GF58" si="1318">SUM(GF57)</f>
        <v>0</v>
      </c>
      <c r="GG58" s="25">
        <f t="shared" ref="GG58" si="1319">SUM(GG57)</f>
        <v>0</v>
      </c>
      <c r="GH58" s="39" t="str">
        <f>IF(SUM(GH57)=0,"",SUM(GH57)/COUNT(GH57))</f>
        <v/>
      </c>
      <c r="GI58" s="25">
        <f>SUM(GI57)</f>
        <v>0</v>
      </c>
      <c r="GJ58" s="25">
        <f t="shared" ref="GJ58" si="1320">SUM(GJ57)</f>
        <v>0</v>
      </c>
      <c r="GK58" s="25">
        <f t="shared" ref="GK58" si="1321">SUM(GK57)</f>
        <v>0</v>
      </c>
      <c r="GL58" s="25">
        <f t="shared" ref="GL58" si="1322">SUM(GL57)</f>
        <v>0</v>
      </c>
      <c r="GM58" s="25">
        <f t="shared" ref="GM58" si="1323">SUM(GM57)</f>
        <v>0</v>
      </c>
      <c r="GN58" s="25">
        <f t="shared" ref="GN58" si="1324">SUM(GN57)</f>
        <v>0</v>
      </c>
      <c r="GO58" s="25">
        <f t="shared" ref="GO58" si="1325">SUM(GO57)</f>
        <v>0</v>
      </c>
      <c r="GP58" s="25">
        <f t="shared" ref="GP58" si="1326">SUM(GP57)</f>
        <v>0</v>
      </c>
      <c r="GQ58" s="39" t="str">
        <f>IF(SUM(GQ57)=0,"",SUM(GQ57)/COUNT(GQ57))</f>
        <v/>
      </c>
      <c r="GR58" s="25">
        <f>SUM(GR57)</f>
        <v>0</v>
      </c>
      <c r="GS58" s="25">
        <f t="shared" ref="GS58" si="1327">SUM(GS57)</f>
        <v>0</v>
      </c>
      <c r="GT58" s="25">
        <f t="shared" ref="GT58" si="1328">SUM(GT57)</f>
        <v>0</v>
      </c>
      <c r="GU58" s="25">
        <f t="shared" ref="GU58" si="1329">SUM(GU57)</f>
        <v>0</v>
      </c>
      <c r="GV58" s="25">
        <f t="shared" ref="GV58" si="1330">SUM(GV57)</f>
        <v>0</v>
      </c>
      <c r="GW58" s="25">
        <f t="shared" ref="GW58" si="1331">SUM(GW57)</f>
        <v>0</v>
      </c>
      <c r="GX58" s="25">
        <f t="shared" ref="GX58" si="1332">SUM(GX57)</f>
        <v>0</v>
      </c>
      <c r="GY58" s="25">
        <f t="shared" ref="GY58" si="1333">SUM(GY57)</f>
        <v>0</v>
      </c>
      <c r="GZ58" s="39" t="str">
        <f>IF(SUM(GZ57)=0,"",SUM(GZ57)/COUNT(GZ57))</f>
        <v/>
      </c>
      <c r="HA58" s="25">
        <f>SUM(HA57)</f>
        <v>0</v>
      </c>
      <c r="HB58" s="25">
        <f t="shared" ref="HB58" si="1334">SUM(HB57)</f>
        <v>0</v>
      </c>
      <c r="HC58" s="25">
        <f t="shared" ref="HC58" si="1335">SUM(HC57)</f>
        <v>0</v>
      </c>
      <c r="HD58" s="25">
        <f t="shared" ref="HD58" si="1336">SUM(HD57)</f>
        <v>0</v>
      </c>
      <c r="HE58" s="25">
        <f t="shared" ref="HE58" si="1337">SUM(HE57)</f>
        <v>0</v>
      </c>
      <c r="HF58" s="25">
        <f t="shared" ref="HF58" si="1338">SUM(HF57)</f>
        <v>0</v>
      </c>
      <c r="HG58" s="25">
        <f t="shared" ref="HG58" si="1339">SUM(HG57)</f>
        <v>0</v>
      </c>
      <c r="HH58" s="25">
        <f t="shared" ref="HH58" si="1340">SUM(HH57)</f>
        <v>0</v>
      </c>
      <c r="HI58" s="39" t="str">
        <f>IF(SUM(HI57)=0,"",SUM(HI57)/COUNT(HI57))</f>
        <v/>
      </c>
      <c r="HJ58" s="25">
        <f>SUM(HJ57)</f>
        <v>0</v>
      </c>
      <c r="HK58" s="25">
        <f t="shared" ref="HK58" si="1341">SUM(HK57)</f>
        <v>0</v>
      </c>
      <c r="HL58" s="25">
        <f t="shared" ref="HL58:HQ58" si="1342">SUM(HL57)</f>
        <v>0</v>
      </c>
      <c r="HM58" s="25">
        <f t="shared" si="1342"/>
        <v>0</v>
      </c>
      <c r="HN58" s="25">
        <f t="shared" si="1342"/>
        <v>0</v>
      </c>
      <c r="HO58" s="25">
        <f t="shared" si="1342"/>
        <v>0</v>
      </c>
      <c r="HP58" s="25">
        <f t="shared" si="1342"/>
        <v>0</v>
      </c>
      <c r="HQ58" s="25">
        <f t="shared" si="1342"/>
        <v>0</v>
      </c>
      <c r="HR58" s="39" t="str">
        <f>IF(SUM(HR57)=0,"",SUM(HR57)/COUNT(HR57))</f>
        <v/>
      </c>
      <c r="HS58" s="25">
        <f>SUM(HS57)</f>
        <v>0</v>
      </c>
      <c r="HT58" s="25">
        <f t="shared" ref="HT58" si="1343">SUM(HT57)</f>
        <v>0</v>
      </c>
      <c r="HU58" s="25">
        <f t="shared" ref="HU58:HZ58" si="1344">SUM(HU57)</f>
        <v>0</v>
      </c>
      <c r="HV58" s="25">
        <f t="shared" si="1344"/>
        <v>0</v>
      </c>
      <c r="HW58" s="25">
        <f t="shared" si="1344"/>
        <v>0</v>
      </c>
      <c r="HX58" s="25">
        <f t="shared" si="1344"/>
        <v>0</v>
      </c>
      <c r="HY58" s="25">
        <f t="shared" si="1344"/>
        <v>0</v>
      </c>
      <c r="HZ58" s="25">
        <f t="shared" si="1344"/>
        <v>0</v>
      </c>
      <c r="IA58" s="39" t="str">
        <f>IF(SUM(IA57)=0,"",SUM(IA57)/COUNT(IA57))</f>
        <v/>
      </c>
      <c r="IB58" s="25">
        <f>SUM(IB57)</f>
        <v>0</v>
      </c>
      <c r="IC58" s="25">
        <f t="shared" ref="IC58" si="1345">SUM(IC57)</f>
        <v>0</v>
      </c>
      <c r="ID58" s="25">
        <f t="shared" ref="ID58:II58" si="1346">SUM(ID57)</f>
        <v>0</v>
      </c>
      <c r="IE58" s="25">
        <f t="shared" si="1346"/>
        <v>0</v>
      </c>
      <c r="IF58" s="25">
        <f t="shared" si="1346"/>
        <v>0</v>
      </c>
      <c r="IG58" s="25">
        <f t="shared" si="1346"/>
        <v>0</v>
      </c>
      <c r="IH58" s="25">
        <f t="shared" si="1346"/>
        <v>0</v>
      </c>
      <c r="II58" s="25">
        <f t="shared" si="1346"/>
        <v>0</v>
      </c>
      <c r="IJ58" s="39" t="str">
        <f>IF(SUM(IJ57)=0,"",SUM(IJ57)/COUNT(IJ57))</f>
        <v/>
      </c>
      <c r="IK58" s="25">
        <f>SUM(IK57)</f>
        <v>0</v>
      </c>
      <c r="IL58" s="25">
        <f t="shared" ref="IL58" si="1347">SUM(IL57)</f>
        <v>0</v>
      </c>
      <c r="IM58" s="25">
        <f t="shared" ref="IM58:IR58" si="1348">SUM(IM57)</f>
        <v>0</v>
      </c>
      <c r="IN58" s="25">
        <f t="shared" si="1348"/>
        <v>0</v>
      </c>
      <c r="IO58" s="25">
        <f t="shared" si="1348"/>
        <v>0</v>
      </c>
      <c r="IP58" s="25">
        <f t="shared" si="1348"/>
        <v>0</v>
      </c>
      <c r="IQ58" s="25">
        <f t="shared" si="1348"/>
        <v>0</v>
      </c>
      <c r="IR58" s="25">
        <f t="shared" si="1348"/>
        <v>0</v>
      </c>
      <c r="IS58" s="39" t="str">
        <f>IF(SUM(IS57)=0,"",SUM(IS57)/COUNT(IS57))</f>
        <v/>
      </c>
      <c r="IT58" s="25">
        <f>SUM(IT57)</f>
        <v>0</v>
      </c>
      <c r="IU58" s="25">
        <f t="shared" ref="IU58" si="1349">SUM(IU57)</f>
        <v>0</v>
      </c>
      <c r="IV58" s="25">
        <f t="shared" ref="IV58:JA58" si="1350">SUM(IV57)</f>
        <v>0</v>
      </c>
      <c r="IW58" s="25">
        <f t="shared" si="1350"/>
        <v>0</v>
      </c>
      <c r="IX58" s="25">
        <f t="shared" si="1350"/>
        <v>0</v>
      </c>
      <c r="IY58" s="25">
        <f t="shared" si="1350"/>
        <v>0</v>
      </c>
      <c r="IZ58" s="25">
        <f t="shared" si="1350"/>
        <v>0</v>
      </c>
      <c r="JA58" s="25">
        <f t="shared" si="1350"/>
        <v>0</v>
      </c>
      <c r="JB58" s="39" t="str">
        <f>IF(SUM(JB57)=0,"",SUM(JB57)/COUNT(JB57))</f>
        <v/>
      </c>
      <c r="JC58" s="25">
        <f>SUM(JC57)</f>
        <v>0</v>
      </c>
      <c r="JD58" s="25">
        <f t="shared" ref="JD58" si="1351">SUM(JD57)</f>
        <v>0</v>
      </c>
      <c r="JE58" s="25">
        <f t="shared" ref="JE58:JJ58" si="1352">SUM(JE57)</f>
        <v>0</v>
      </c>
      <c r="JF58" s="25">
        <f t="shared" si="1352"/>
        <v>0</v>
      </c>
      <c r="JG58" s="25">
        <f t="shared" si="1352"/>
        <v>0</v>
      </c>
      <c r="JH58" s="25">
        <f t="shared" si="1352"/>
        <v>0</v>
      </c>
      <c r="JI58" s="25">
        <f t="shared" si="1352"/>
        <v>0</v>
      </c>
      <c r="JJ58" s="25">
        <f t="shared" si="1352"/>
        <v>0</v>
      </c>
      <c r="JK58" s="39" t="str">
        <f>IF(SUM(JK57)=0,"",SUM(JK57)/COUNT(JK57))</f>
        <v/>
      </c>
      <c r="JL58" s="25">
        <f>SUM(JL57)</f>
        <v>0</v>
      </c>
      <c r="JM58" s="25">
        <f t="shared" ref="JM58" si="1353">SUM(JM57)</f>
        <v>0</v>
      </c>
      <c r="JN58" s="25">
        <f t="shared" ref="JN58:JS58" si="1354">SUM(JN57)</f>
        <v>0</v>
      </c>
      <c r="JO58" s="25">
        <f t="shared" si="1354"/>
        <v>0</v>
      </c>
      <c r="JP58" s="25">
        <f t="shared" si="1354"/>
        <v>0</v>
      </c>
      <c r="JQ58" s="25">
        <f t="shared" si="1354"/>
        <v>0</v>
      </c>
      <c r="JR58" s="25">
        <f t="shared" si="1354"/>
        <v>0</v>
      </c>
      <c r="JS58" s="25">
        <f t="shared" si="1354"/>
        <v>0</v>
      </c>
      <c r="JT58" s="39" t="str">
        <f>IF(SUM(JT57)=0,"",SUM(JT57)/COUNT(JT57))</f>
        <v/>
      </c>
      <c r="JU58" s="25">
        <f>SUM(JU57)</f>
        <v>0</v>
      </c>
      <c r="JV58" s="25">
        <f t="shared" ref="JV58" si="1355">SUM(JV57)</f>
        <v>0</v>
      </c>
      <c r="JW58" s="25">
        <f t="shared" ref="JW58:KB58" si="1356">SUM(JW57)</f>
        <v>0</v>
      </c>
      <c r="JX58" s="25">
        <f t="shared" si="1356"/>
        <v>0</v>
      </c>
      <c r="JY58" s="25">
        <f t="shared" si="1356"/>
        <v>0</v>
      </c>
      <c r="JZ58" s="25">
        <f t="shared" si="1356"/>
        <v>0</v>
      </c>
      <c r="KA58" s="25">
        <f t="shared" si="1356"/>
        <v>0</v>
      </c>
      <c r="KB58" s="25">
        <f t="shared" si="1356"/>
        <v>0</v>
      </c>
      <c r="KC58" s="39" t="str">
        <f>IF(SUM(KC57)=0,"",SUM(KC57)/COUNT(KC57))</f>
        <v/>
      </c>
      <c r="KD58" s="25">
        <f>SUM(KD57)</f>
        <v>0</v>
      </c>
      <c r="KE58" s="25">
        <f t="shared" ref="KE58" si="1357">SUM(KE57)</f>
        <v>0</v>
      </c>
      <c r="KF58" s="25">
        <f t="shared" ref="KF58:KK58" si="1358">SUM(KF57)</f>
        <v>0</v>
      </c>
      <c r="KG58" s="25">
        <f t="shared" si="1358"/>
        <v>0</v>
      </c>
      <c r="KH58" s="25">
        <f t="shared" si="1358"/>
        <v>0</v>
      </c>
      <c r="KI58" s="25">
        <f t="shared" si="1358"/>
        <v>0</v>
      </c>
      <c r="KJ58" s="25">
        <f t="shared" si="1358"/>
        <v>0</v>
      </c>
      <c r="KK58" s="25">
        <f t="shared" si="1358"/>
        <v>0</v>
      </c>
      <c r="KL58" s="39" t="str">
        <f>IF(SUM(KL57)=0,"",SUM(KL57)/COUNT(KL57))</f>
        <v/>
      </c>
      <c r="KM58" s="25">
        <f>SUM(KM57)</f>
        <v>0</v>
      </c>
      <c r="KN58" s="25">
        <f t="shared" ref="KN58" si="1359">SUM(KN57)</f>
        <v>0</v>
      </c>
      <c r="KO58" s="25">
        <f t="shared" ref="KO58:KT58" si="1360">SUM(KO57)</f>
        <v>0</v>
      </c>
      <c r="KP58" s="25">
        <f t="shared" si="1360"/>
        <v>0</v>
      </c>
      <c r="KQ58" s="25">
        <f t="shared" si="1360"/>
        <v>0</v>
      </c>
      <c r="KR58" s="25">
        <f t="shared" si="1360"/>
        <v>0</v>
      </c>
      <c r="KS58" s="25">
        <f t="shared" si="1360"/>
        <v>0</v>
      </c>
      <c r="KT58" s="25">
        <f t="shared" si="1360"/>
        <v>0</v>
      </c>
      <c r="KU58" s="39" t="str">
        <f>IF(SUM(KU57)=0,"",SUM(KU57)/COUNT(KU57))</f>
        <v/>
      </c>
      <c r="KV58" s="25">
        <f>SUM(KV57)</f>
        <v>0</v>
      </c>
      <c r="KW58" s="25">
        <f t="shared" ref="KW58" si="1361">SUM(KW57)</f>
        <v>0</v>
      </c>
      <c r="KX58" s="25">
        <f t="shared" ref="KX58:LC58" si="1362">SUM(KX57)</f>
        <v>0</v>
      </c>
      <c r="KY58" s="25">
        <f t="shared" si="1362"/>
        <v>0</v>
      </c>
      <c r="KZ58" s="25">
        <f t="shared" si="1362"/>
        <v>0</v>
      </c>
      <c r="LA58" s="25">
        <f t="shared" si="1362"/>
        <v>0</v>
      </c>
      <c r="LB58" s="25">
        <f t="shared" si="1362"/>
        <v>0</v>
      </c>
      <c r="LC58" s="25">
        <f t="shared" si="1362"/>
        <v>0</v>
      </c>
      <c r="LD58" s="39" t="str">
        <f>IF(SUM(LD57)=0,"",SUM(LD57)/COUNT(LD57))</f>
        <v/>
      </c>
      <c r="LE58" s="25">
        <f>SUM(LE57)</f>
        <v>0</v>
      </c>
      <c r="LF58" s="25">
        <f t="shared" ref="LF58" si="1363">SUM(LF57)</f>
        <v>0</v>
      </c>
      <c r="LG58" s="25">
        <f t="shared" ref="LG58:LL58" si="1364">SUM(LG57)</f>
        <v>0</v>
      </c>
      <c r="LH58" s="25">
        <f t="shared" si="1364"/>
        <v>0</v>
      </c>
      <c r="LI58" s="25">
        <f t="shared" si="1364"/>
        <v>0</v>
      </c>
      <c r="LJ58" s="25">
        <f t="shared" si="1364"/>
        <v>0</v>
      </c>
      <c r="LK58" s="25">
        <f t="shared" si="1364"/>
        <v>0</v>
      </c>
      <c r="LL58" s="25">
        <f t="shared" si="1364"/>
        <v>0</v>
      </c>
      <c r="LM58" s="39" t="str">
        <f>IF(SUM(LM57)=0,"",SUM(LM57)/COUNT(LM57))</f>
        <v/>
      </c>
      <c r="LN58" s="25">
        <f>SUM(LN57)</f>
        <v>0</v>
      </c>
      <c r="LO58" s="25">
        <f t="shared" ref="LO58" si="1365">SUM(LO57)</f>
        <v>0</v>
      </c>
      <c r="LP58" s="25">
        <f t="shared" ref="LP58:LU58" si="1366">SUM(LP57)</f>
        <v>0</v>
      </c>
      <c r="LQ58" s="25">
        <f t="shared" si="1366"/>
        <v>0</v>
      </c>
      <c r="LR58" s="25">
        <f t="shared" si="1366"/>
        <v>0</v>
      </c>
      <c r="LS58" s="25">
        <f t="shared" si="1366"/>
        <v>0</v>
      </c>
      <c r="LT58" s="25">
        <f t="shared" si="1366"/>
        <v>0</v>
      </c>
      <c r="LU58" s="25">
        <f t="shared" si="1366"/>
        <v>0</v>
      </c>
      <c r="LV58" s="39" t="str">
        <f>IF(SUM(LV57)=0,"",SUM(LV57)/COUNT(LV57))</f>
        <v/>
      </c>
      <c r="LW58" s="25">
        <f>SUM(LW57)</f>
        <v>0</v>
      </c>
      <c r="LX58" s="25">
        <f t="shared" ref="LX58" si="1367">SUM(LX57)</f>
        <v>0</v>
      </c>
      <c r="LY58" s="25">
        <f t="shared" ref="LY58:MD58" si="1368">SUM(LY57)</f>
        <v>0</v>
      </c>
      <c r="LZ58" s="25">
        <f t="shared" si="1368"/>
        <v>0</v>
      </c>
      <c r="MA58" s="25">
        <f t="shared" si="1368"/>
        <v>0</v>
      </c>
      <c r="MB58" s="25">
        <f t="shared" si="1368"/>
        <v>0</v>
      </c>
      <c r="MC58" s="25">
        <f t="shared" si="1368"/>
        <v>0</v>
      </c>
      <c r="MD58" s="25">
        <f t="shared" si="1368"/>
        <v>0</v>
      </c>
      <c r="ME58" s="39" t="str">
        <f>IF(SUM(ME57)=0,"",SUM(ME57)/COUNT(ME57))</f>
        <v/>
      </c>
      <c r="MF58" s="25">
        <f>SUM(MF57)</f>
        <v>0</v>
      </c>
      <c r="MG58" s="25">
        <f t="shared" ref="MG58:MM58" si="1369">SUM(MG57)</f>
        <v>0</v>
      </c>
      <c r="MH58" s="25">
        <f t="shared" si="1369"/>
        <v>0</v>
      </c>
      <c r="MI58" s="25">
        <f t="shared" si="1369"/>
        <v>0</v>
      </c>
      <c r="MJ58" s="25">
        <f t="shared" si="1369"/>
        <v>0</v>
      </c>
      <c r="MK58" s="25">
        <f t="shared" si="1369"/>
        <v>0</v>
      </c>
      <c r="ML58" s="25">
        <f t="shared" si="1369"/>
        <v>0</v>
      </c>
      <c r="MM58" s="25">
        <f t="shared" si="1369"/>
        <v>0</v>
      </c>
      <c r="MN58" s="39" t="str">
        <f>IF(SUM(MN57)=0,"",SUM(MN57)/COUNT(MN57))</f>
        <v/>
      </c>
      <c r="MO58" s="25">
        <f>SUM(MO57)</f>
        <v>0</v>
      </c>
      <c r="MP58" s="25">
        <f t="shared" ref="MP58:MV58" si="1370">SUM(MP57)</f>
        <v>0</v>
      </c>
      <c r="MQ58" s="25">
        <f t="shared" si="1370"/>
        <v>0</v>
      </c>
      <c r="MR58" s="25">
        <f t="shared" si="1370"/>
        <v>0</v>
      </c>
      <c r="MS58" s="25">
        <f t="shared" si="1370"/>
        <v>0</v>
      </c>
      <c r="MT58" s="25">
        <f t="shared" si="1370"/>
        <v>0</v>
      </c>
      <c r="MU58" s="25">
        <f t="shared" si="1370"/>
        <v>0</v>
      </c>
      <c r="MV58" s="25">
        <f t="shared" si="1370"/>
        <v>0</v>
      </c>
      <c r="MW58" s="39" t="str">
        <f>IF(SUM(MW57)=0,"",SUM(MW57)/COUNT(MW57))</f>
        <v/>
      </c>
      <c r="MX58" s="25">
        <f>SUM(MX57)</f>
        <v>0</v>
      </c>
      <c r="MY58" s="25">
        <f t="shared" ref="MY58:NE58" si="1371">SUM(MY57)</f>
        <v>0</v>
      </c>
      <c r="MZ58" s="25">
        <f t="shared" si="1371"/>
        <v>0</v>
      </c>
      <c r="NA58" s="25">
        <f t="shared" si="1371"/>
        <v>0</v>
      </c>
      <c r="NB58" s="25">
        <f t="shared" si="1371"/>
        <v>0</v>
      </c>
      <c r="NC58" s="25">
        <f t="shared" si="1371"/>
        <v>0</v>
      </c>
      <c r="ND58" s="25">
        <f t="shared" si="1371"/>
        <v>0</v>
      </c>
      <c r="NE58" s="25">
        <f t="shared" si="1371"/>
        <v>0</v>
      </c>
      <c r="NF58" s="39" t="str">
        <f>IF(SUM(NF57)=0,"",SUM(NF57)/COUNT(NF57))</f>
        <v/>
      </c>
      <c r="NG58" s="25">
        <f>SUM(NG57)</f>
        <v>0</v>
      </c>
      <c r="NH58" s="25">
        <f t="shared" ref="NH58:NN58" si="1372">SUM(NH57)</f>
        <v>0</v>
      </c>
      <c r="NI58" s="25">
        <f t="shared" si="1372"/>
        <v>0</v>
      </c>
      <c r="NJ58" s="25">
        <f t="shared" si="1372"/>
        <v>0</v>
      </c>
      <c r="NK58" s="25">
        <f t="shared" si="1372"/>
        <v>0</v>
      </c>
      <c r="NL58" s="25">
        <f t="shared" si="1372"/>
        <v>0</v>
      </c>
      <c r="NM58" s="25">
        <f t="shared" si="1372"/>
        <v>0</v>
      </c>
      <c r="NN58" s="25">
        <f t="shared" si="1372"/>
        <v>0</v>
      </c>
      <c r="NO58" s="39" t="str">
        <f>IF(SUM(NO57)=0,"",SUM(NO57)/COUNT(NO57))</f>
        <v/>
      </c>
      <c r="NP58" s="25">
        <f>SUM(NP57)</f>
        <v>0</v>
      </c>
      <c r="NQ58" s="25">
        <f t="shared" ref="NQ58:NW58" si="1373">SUM(NQ57)</f>
        <v>0</v>
      </c>
      <c r="NR58" s="25">
        <f t="shared" si="1373"/>
        <v>0</v>
      </c>
      <c r="NS58" s="25">
        <f t="shared" si="1373"/>
        <v>0</v>
      </c>
      <c r="NT58" s="25">
        <f t="shared" si="1373"/>
        <v>0</v>
      </c>
      <c r="NU58" s="25">
        <f t="shared" si="1373"/>
        <v>0</v>
      </c>
      <c r="NV58" s="25">
        <f t="shared" si="1373"/>
        <v>0</v>
      </c>
      <c r="NW58" s="25">
        <f t="shared" si="1373"/>
        <v>0</v>
      </c>
      <c r="NX58" s="39" t="str">
        <f>IF(SUM(NX57)=0,"",SUM(NX57)/COUNT(NX57))</f>
        <v/>
      </c>
      <c r="NY58" s="25">
        <f>SUM(NY57)</f>
        <v>0</v>
      </c>
      <c r="NZ58" s="25">
        <f t="shared" ref="NZ58:OF58" si="1374">SUM(NZ57)</f>
        <v>0</v>
      </c>
      <c r="OA58" s="25">
        <f t="shared" si="1374"/>
        <v>0</v>
      </c>
      <c r="OB58" s="25">
        <f t="shared" si="1374"/>
        <v>0</v>
      </c>
      <c r="OC58" s="25">
        <f t="shared" si="1374"/>
        <v>0</v>
      </c>
      <c r="OD58" s="25">
        <f t="shared" si="1374"/>
        <v>0</v>
      </c>
      <c r="OE58" s="25">
        <f t="shared" si="1374"/>
        <v>0</v>
      </c>
      <c r="OF58" s="25">
        <f t="shared" si="1374"/>
        <v>0</v>
      </c>
      <c r="OG58" s="39" t="str">
        <f>IF(SUM(OG57)=0,"",SUM(OG57)/COUNT(OG57))</f>
        <v/>
      </c>
      <c r="OH58" s="25">
        <f>SUM(OH57)</f>
        <v>0</v>
      </c>
      <c r="OI58" s="25">
        <f t="shared" ref="OI58:OO58" si="1375">SUM(OI57)</f>
        <v>0</v>
      </c>
      <c r="OJ58" s="25">
        <f t="shared" si="1375"/>
        <v>0</v>
      </c>
      <c r="OK58" s="25">
        <f t="shared" si="1375"/>
        <v>0</v>
      </c>
      <c r="OL58" s="25">
        <f t="shared" si="1375"/>
        <v>0</v>
      </c>
      <c r="OM58" s="25">
        <f t="shared" si="1375"/>
        <v>0</v>
      </c>
      <c r="ON58" s="25">
        <f t="shared" si="1375"/>
        <v>0</v>
      </c>
      <c r="OO58" s="25">
        <f t="shared" si="1375"/>
        <v>0</v>
      </c>
      <c r="OP58" s="39" t="str">
        <f>IF(SUM(OP57)=0,"",SUM(OP57)/COUNT(OP57))</f>
        <v/>
      </c>
      <c r="OQ58" s="25">
        <f>SUM(OQ57)</f>
        <v>0</v>
      </c>
      <c r="OR58" s="25">
        <f t="shared" ref="OR58:OX58" si="1376">SUM(OR57)</f>
        <v>0</v>
      </c>
      <c r="OS58" s="25">
        <f t="shared" si="1376"/>
        <v>0</v>
      </c>
      <c r="OT58" s="25">
        <f t="shared" si="1376"/>
        <v>0</v>
      </c>
      <c r="OU58" s="25">
        <f t="shared" si="1376"/>
        <v>0</v>
      </c>
      <c r="OV58" s="25">
        <f t="shared" si="1376"/>
        <v>0</v>
      </c>
      <c r="OW58" s="25">
        <f t="shared" si="1376"/>
        <v>0</v>
      </c>
      <c r="OX58" s="25">
        <f t="shared" si="1376"/>
        <v>0</v>
      </c>
      <c r="OY58" s="39" t="str">
        <f>IF(SUM(OY57)=0,"",SUM(OY57)/COUNT(OY57))</f>
        <v/>
      </c>
      <c r="OZ58" s="27">
        <f>SUM(OZ57)</f>
        <v>0</v>
      </c>
      <c r="PA58" s="27">
        <f t="shared" ref="PA58:PG58" si="1377">SUM(PA57)</f>
        <v>0</v>
      </c>
      <c r="PB58" s="27">
        <f t="shared" si="1377"/>
        <v>0</v>
      </c>
      <c r="PC58" s="27">
        <f t="shared" si="1377"/>
        <v>0</v>
      </c>
      <c r="PD58" s="27">
        <f t="shared" si="1377"/>
        <v>0</v>
      </c>
      <c r="PE58" s="27">
        <f t="shared" si="1377"/>
        <v>0</v>
      </c>
      <c r="PF58" s="27">
        <f t="shared" si="1377"/>
        <v>0</v>
      </c>
      <c r="PG58" s="27">
        <f t="shared" si="1377"/>
        <v>0</v>
      </c>
      <c r="PH58" s="28" t="str">
        <f>IF(SUM(PH57)=0,"",SUM(PH57)/COUNT(PH57))</f>
        <v/>
      </c>
    </row>
    <row r="59" spans="1:424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  <c r="K59" s="24"/>
      <c r="L59" s="24"/>
      <c r="M59" s="24"/>
      <c r="N59" s="24"/>
      <c r="O59" s="24"/>
      <c r="P59" s="24"/>
      <c r="Q59" s="24"/>
      <c r="R59" s="24"/>
      <c r="S59" s="38"/>
      <c r="T59" s="24"/>
      <c r="U59" s="24"/>
      <c r="V59" s="24"/>
      <c r="W59" s="24"/>
      <c r="X59" s="24"/>
      <c r="Y59" s="24"/>
      <c r="Z59" s="24"/>
      <c r="AA59" s="24"/>
      <c r="AB59" s="38"/>
      <c r="AC59" s="24"/>
      <c r="AD59" s="24"/>
      <c r="AE59" s="24"/>
      <c r="AF59" s="24"/>
      <c r="AG59" s="24"/>
      <c r="AH59" s="24"/>
      <c r="AI59" s="24"/>
      <c r="AJ59" s="24"/>
      <c r="AK59" s="38"/>
      <c r="AL59" s="24"/>
      <c r="AM59" s="24"/>
      <c r="AN59" s="24"/>
      <c r="AO59" s="24"/>
      <c r="AP59" s="24"/>
      <c r="AQ59" s="24"/>
      <c r="AR59" s="24"/>
      <c r="AS59" s="24"/>
      <c r="AT59" s="38"/>
      <c r="AU59" s="24"/>
      <c r="AV59" s="24"/>
      <c r="AW59" s="24"/>
      <c r="AX59" s="24"/>
      <c r="AY59" s="24"/>
      <c r="AZ59" s="24"/>
      <c r="BA59" s="24"/>
      <c r="BB59" s="24"/>
      <c r="BC59" s="38"/>
      <c r="BD59" s="24"/>
      <c r="BE59" s="24"/>
      <c r="BF59" s="24"/>
      <c r="BG59" s="24"/>
      <c r="BH59" s="24"/>
      <c r="BI59" s="24"/>
      <c r="BJ59" s="24"/>
      <c r="BK59" s="24"/>
      <c r="BL59" s="38"/>
      <c r="BM59" s="24"/>
      <c r="BN59" s="24"/>
      <c r="BO59" s="24"/>
      <c r="BP59" s="24"/>
      <c r="BQ59" s="24"/>
      <c r="BR59" s="24"/>
      <c r="BS59" s="24"/>
      <c r="BT59" s="24"/>
      <c r="BU59" s="38"/>
      <c r="BV59" s="24">
        <v>1</v>
      </c>
      <c r="BW59" s="24">
        <v>1800000</v>
      </c>
      <c r="BX59" s="24"/>
      <c r="BY59" s="24">
        <v>27700</v>
      </c>
      <c r="BZ59" s="24">
        <v>1</v>
      </c>
      <c r="CA59" s="24">
        <v>1772300</v>
      </c>
      <c r="CB59" s="24">
        <v>147666</v>
      </c>
      <c r="CC59" s="24"/>
      <c r="CD59" s="38"/>
      <c r="CE59" s="24"/>
      <c r="CF59" s="24"/>
      <c r="CG59" s="24"/>
      <c r="CH59" s="24"/>
      <c r="CI59" s="24"/>
      <c r="CJ59" s="24"/>
      <c r="CK59" s="24"/>
      <c r="CL59" s="24"/>
      <c r="CM59" s="38"/>
      <c r="CN59" s="24"/>
      <c r="CO59" s="24"/>
      <c r="CP59" s="24"/>
      <c r="CQ59" s="24"/>
      <c r="CR59" s="24"/>
      <c r="CS59" s="24"/>
      <c r="CT59" s="24"/>
      <c r="CU59" s="24"/>
      <c r="CV59" s="38"/>
      <c r="CW59" s="24"/>
      <c r="CX59" s="24"/>
      <c r="CY59" s="24"/>
      <c r="CZ59" s="24"/>
      <c r="DA59" s="24"/>
      <c r="DB59" s="24"/>
      <c r="DC59" s="24"/>
      <c r="DD59" s="24"/>
      <c r="DE59" s="38"/>
      <c r="DF59" s="24"/>
      <c r="DG59" s="24"/>
      <c r="DH59" s="24"/>
      <c r="DI59" s="24"/>
      <c r="DJ59" s="24"/>
      <c r="DK59" s="24"/>
      <c r="DL59" s="24"/>
      <c r="DM59" s="24"/>
      <c r="DN59" s="38"/>
      <c r="DO59" s="24"/>
      <c r="DP59" s="24"/>
      <c r="DQ59" s="24"/>
      <c r="DR59" s="24"/>
      <c r="DS59" s="24"/>
      <c r="DT59" s="24"/>
      <c r="DU59" s="24"/>
      <c r="DV59" s="24"/>
      <c r="DW59" s="38"/>
      <c r="DX59" s="24"/>
      <c r="DY59" s="24"/>
      <c r="DZ59" s="24"/>
      <c r="EA59" s="24"/>
      <c r="EB59" s="24"/>
      <c r="EC59" s="24"/>
      <c r="ED59" s="24"/>
      <c r="EE59" s="24"/>
      <c r="EF59" s="38"/>
      <c r="EG59" s="24"/>
      <c r="EH59" s="24"/>
      <c r="EI59" s="24"/>
      <c r="EJ59" s="24"/>
      <c r="EK59" s="24"/>
      <c r="EL59" s="24"/>
      <c r="EM59" s="24"/>
      <c r="EN59" s="24"/>
      <c r="EO59" s="38"/>
      <c r="EP59" s="24"/>
      <c r="EQ59" s="24"/>
      <c r="ER59" s="24"/>
      <c r="ES59" s="24"/>
      <c r="ET59" s="24"/>
      <c r="EU59" s="24"/>
      <c r="EV59" s="24"/>
      <c r="EW59" s="24"/>
      <c r="EX59" s="38"/>
      <c r="EY59" s="24"/>
      <c r="EZ59" s="24"/>
      <c r="FA59" s="24"/>
      <c r="FB59" s="24"/>
      <c r="FC59" s="24"/>
      <c r="FD59" s="24"/>
      <c r="FE59" s="24"/>
      <c r="FF59" s="24"/>
      <c r="FG59" s="38"/>
      <c r="FH59" s="24"/>
      <c r="FI59" s="24"/>
      <c r="FJ59" s="24"/>
      <c r="FK59" s="24"/>
      <c r="FL59" s="24"/>
      <c r="FM59" s="24"/>
      <c r="FN59" s="24"/>
      <c r="FO59" s="24"/>
      <c r="FP59" s="38"/>
      <c r="FQ59" s="24"/>
      <c r="FR59" s="24"/>
      <c r="FS59" s="24"/>
      <c r="FT59" s="24"/>
      <c r="FU59" s="24"/>
      <c r="FV59" s="24"/>
      <c r="FW59" s="24"/>
      <c r="FX59" s="24"/>
      <c r="FY59" s="38"/>
      <c r="FZ59" s="24"/>
      <c r="GA59" s="24"/>
      <c r="GB59" s="24"/>
      <c r="GC59" s="24"/>
      <c r="GD59" s="24"/>
      <c r="GE59" s="24"/>
      <c r="GF59" s="24"/>
      <c r="GG59" s="24"/>
      <c r="GH59" s="38"/>
      <c r="GI59" s="24"/>
      <c r="GJ59" s="24"/>
      <c r="GK59" s="24"/>
      <c r="GL59" s="24"/>
      <c r="GM59" s="24"/>
      <c r="GN59" s="24"/>
      <c r="GO59" s="24"/>
      <c r="GP59" s="24"/>
      <c r="GQ59" s="38"/>
      <c r="GR59" s="24"/>
      <c r="GS59" s="24"/>
      <c r="GT59" s="24"/>
      <c r="GU59" s="24"/>
      <c r="GV59" s="24"/>
      <c r="GW59" s="24"/>
      <c r="GX59" s="24"/>
      <c r="GY59" s="24"/>
      <c r="GZ59" s="38"/>
      <c r="HA59" s="24"/>
      <c r="HB59" s="24"/>
      <c r="HC59" s="24"/>
      <c r="HD59" s="24"/>
      <c r="HE59" s="24"/>
      <c r="HF59" s="24"/>
      <c r="HG59" s="24"/>
      <c r="HH59" s="24"/>
      <c r="HI59" s="38"/>
      <c r="HJ59" s="24"/>
      <c r="HK59" s="24"/>
      <c r="HL59" s="24"/>
      <c r="HM59" s="24"/>
      <c r="HN59" s="24"/>
      <c r="HO59" s="24"/>
      <c r="HP59" s="24"/>
      <c r="HQ59" s="24"/>
      <c r="HR59" s="38"/>
      <c r="HS59" s="24"/>
      <c r="HT59" s="24"/>
      <c r="HU59" s="24"/>
      <c r="HV59" s="24"/>
      <c r="HW59" s="24"/>
      <c r="HX59" s="24"/>
      <c r="HY59" s="24"/>
      <c r="HZ59" s="24"/>
      <c r="IA59" s="38"/>
      <c r="IB59" s="24"/>
      <c r="IC59" s="24"/>
      <c r="ID59" s="24"/>
      <c r="IE59" s="24"/>
      <c r="IF59" s="24"/>
      <c r="IG59" s="24"/>
      <c r="IH59" s="24"/>
      <c r="II59" s="24"/>
      <c r="IJ59" s="38"/>
      <c r="IK59" s="24"/>
      <c r="IL59" s="24"/>
      <c r="IM59" s="24"/>
      <c r="IN59" s="24"/>
      <c r="IO59" s="24"/>
      <c r="IP59" s="24"/>
      <c r="IQ59" s="24"/>
      <c r="IR59" s="24"/>
      <c r="IS59" s="38"/>
      <c r="IT59" s="24"/>
      <c r="IU59" s="24"/>
      <c r="IV59" s="24"/>
      <c r="IW59" s="24"/>
      <c r="IX59" s="24"/>
      <c r="IY59" s="24"/>
      <c r="IZ59" s="24"/>
      <c r="JA59" s="24"/>
      <c r="JB59" s="38"/>
      <c r="JC59" s="24"/>
      <c r="JD59" s="24"/>
      <c r="JE59" s="24"/>
      <c r="JF59" s="24"/>
      <c r="JG59" s="24"/>
      <c r="JH59" s="24"/>
      <c r="JI59" s="24"/>
      <c r="JJ59" s="24"/>
      <c r="JK59" s="38"/>
      <c r="JL59" s="24"/>
      <c r="JM59" s="24"/>
      <c r="JN59" s="24"/>
      <c r="JO59" s="24"/>
      <c r="JP59" s="24"/>
      <c r="JQ59" s="24"/>
      <c r="JR59" s="24"/>
      <c r="JS59" s="24"/>
      <c r="JT59" s="38"/>
      <c r="JU59" s="24"/>
      <c r="JV59" s="24"/>
      <c r="JW59" s="24"/>
      <c r="JX59" s="24"/>
      <c r="JY59" s="24"/>
      <c r="JZ59" s="24"/>
      <c r="KA59" s="24"/>
      <c r="KB59" s="24"/>
      <c r="KC59" s="38"/>
      <c r="KD59" s="24"/>
      <c r="KE59" s="24"/>
      <c r="KF59" s="24"/>
      <c r="KG59" s="24"/>
      <c r="KH59" s="24"/>
      <c r="KI59" s="24"/>
      <c r="KJ59" s="24"/>
      <c r="KK59" s="24"/>
      <c r="KL59" s="38"/>
      <c r="KM59" s="24"/>
      <c r="KN59" s="24"/>
      <c r="KO59" s="24"/>
      <c r="KP59" s="24"/>
      <c r="KQ59" s="24"/>
      <c r="KR59" s="24"/>
      <c r="KS59" s="24"/>
      <c r="KT59" s="24"/>
      <c r="KU59" s="38"/>
      <c r="KV59" s="24"/>
      <c r="KW59" s="24"/>
      <c r="KX59" s="24"/>
      <c r="KY59" s="24"/>
      <c r="KZ59" s="24"/>
      <c r="LA59" s="24"/>
      <c r="LB59" s="24"/>
      <c r="LC59" s="24"/>
      <c r="LD59" s="38"/>
      <c r="LE59" s="24"/>
      <c r="LF59" s="24"/>
      <c r="LG59" s="24"/>
      <c r="LH59" s="24"/>
      <c r="LI59" s="24"/>
      <c r="LJ59" s="24"/>
      <c r="LK59" s="24"/>
      <c r="LL59" s="24"/>
      <c r="LM59" s="38"/>
      <c r="LN59" s="24"/>
      <c r="LO59" s="24"/>
      <c r="LP59" s="24"/>
      <c r="LQ59" s="24"/>
      <c r="LR59" s="24"/>
      <c r="LS59" s="24"/>
      <c r="LT59" s="24"/>
      <c r="LU59" s="24"/>
      <c r="LV59" s="38"/>
      <c r="LW59" s="24"/>
      <c r="LX59" s="24"/>
      <c r="LY59" s="24"/>
      <c r="LZ59" s="24"/>
      <c r="MA59" s="24"/>
      <c r="MB59" s="24"/>
      <c r="MC59" s="24"/>
      <c r="MD59" s="24"/>
      <c r="ME59" s="38"/>
      <c r="MF59" s="24"/>
      <c r="MG59" s="24"/>
      <c r="MH59" s="24"/>
      <c r="MI59" s="24"/>
      <c r="MJ59" s="24"/>
      <c r="MK59" s="24"/>
      <c r="ML59" s="24"/>
      <c r="MM59" s="24"/>
      <c r="MN59" s="38"/>
      <c r="MO59" s="24"/>
      <c r="MP59" s="24"/>
      <c r="MQ59" s="24"/>
      <c r="MR59" s="24"/>
      <c r="MS59" s="24"/>
      <c r="MT59" s="24"/>
      <c r="MU59" s="24"/>
      <c r="MV59" s="24"/>
      <c r="MW59" s="38"/>
      <c r="MX59" s="24"/>
      <c r="MY59" s="24"/>
      <c r="MZ59" s="24"/>
      <c r="NA59" s="24"/>
      <c r="NB59" s="24"/>
      <c r="NC59" s="24"/>
      <c r="ND59" s="24"/>
      <c r="NE59" s="24"/>
      <c r="NF59" s="38"/>
      <c r="NG59" s="24"/>
      <c r="NH59" s="24"/>
      <c r="NI59" s="24"/>
      <c r="NJ59" s="24"/>
      <c r="NK59" s="24"/>
      <c r="NL59" s="24"/>
      <c r="NM59" s="24"/>
      <c r="NN59" s="24"/>
      <c r="NO59" s="38"/>
      <c r="NP59" s="24"/>
      <c r="NQ59" s="24"/>
      <c r="NR59" s="24"/>
      <c r="NS59" s="24"/>
      <c r="NT59" s="24"/>
      <c r="NU59" s="24"/>
      <c r="NV59" s="24"/>
      <c r="NW59" s="24"/>
      <c r="NX59" s="38"/>
      <c r="NY59" s="24"/>
      <c r="NZ59" s="24"/>
      <c r="OA59" s="24"/>
      <c r="OB59" s="24"/>
      <c r="OC59" s="24"/>
      <c r="OD59" s="24"/>
      <c r="OE59" s="24"/>
      <c r="OF59" s="24"/>
      <c r="OG59" s="38"/>
      <c r="OH59" s="24"/>
      <c r="OI59" s="24"/>
      <c r="OJ59" s="24"/>
      <c r="OK59" s="24"/>
      <c r="OL59" s="24"/>
      <c r="OM59" s="24"/>
      <c r="ON59" s="24"/>
      <c r="OO59" s="24"/>
      <c r="OP59" s="38"/>
      <c r="OQ59" s="24"/>
      <c r="OR59" s="24"/>
      <c r="OS59" s="24"/>
      <c r="OT59" s="24"/>
      <c r="OU59" s="24"/>
      <c r="OV59" s="24"/>
      <c r="OW59" s="24"/>
      <c r="OX59" s="24"/>
      <c r="OY59" s="38"/>
    </row>
    <row r="60" spans="1:424" s="26" customFormat="1" x14ac:dyDescent="0.2">
      <c r="A60" s="36" t="s">
        <v>73</v>
      </c>
      <c r="B60" s="25">
        <f>SUM(B59)</f>
        <v>0</v>
      </c>
      <c r="C60" s="25">
        <f t="shared" ref="C60" si="1378">SUM(C59)</f>
        <v>0</v>
      </c>
      <c r="D60" s="25">
        <f t="shared" ref="D60" si="1379">SUM(D59)</f>
        <v>0</v>
      </c>
      <c r="E60" s="25">
        <f t="shared" ref="E60" si="1380">SUM(E59)</f>
        <v>0</v>
      </c>
      <c r="F60" s="25">
        <f t="shared" ref="F60" si="1381">SUM(F59)</f>
        <v>0</v>
      </c>
      <c r="G60" s="25">
        <f t="shared" ref="G60" si="1382">SUM(G59)</f>
        <v>0</v>
      </c>
      <c r="H60" s="25">
        <f t="shared" ref="H60" si="1383">SUM(H59)</f>
        <v>0</v>
      </c>
      <c r="I60" s="25">
        <f t="shared" ref="I60" si="1384">SUM(I59)</f>
        <v>0</v>
      </c>
      <c r="J60" s="39" t="str">
        <f>IF(SUM(J59)=0,"",SUM(J59)/COUNT(J59))</f>
        <v/>
      </c>
      <c r="K60" s="25">
        <f>SUM(K59)</f>
        <v>0</v>
      </c>
      <c r="L60" s="25">
        <f t="shared" ref="L60" si="1385">SUM(L59)</f>
        <v>0</v>
      </c>
      <c r="M60" s="25">
        <f t="shared" ref="M60" si="1386">SUM(M59)</f>
        <v>0</v>
      </c>
      <c r="N60" s="25">
        <f t="shared" ref="N60" si="1387">SUM(N59)</f>
        <v>0</v>
      </c>
      <c r="O60" s="25">
        <f t="shared" ref="O60" si="1388">SUM(O59)</f>
        <v>0</v>
      </c>
      <c r="P60" s="25">
        <f t="shared" ref="P60" si="1389">SUM(P59)</f>
        <v>0</v>
      </c>
      <c r="Q60" s="25">
        <f t="shared" ref="Q60" si="1390">SUM(Q59)</f>
        <v>0</v>
      </c>
      <c r="R60" s="25">
        <f t="shared" ref="R60" si="1391">SUM(R59)</f>
        <v>0</v>
      </c>
      <c r="S60" s="39" t="str">
        <f>IF(SUM(S59)=0,"",SUM(S59)/COUNT(S59))</f>
        <v/>
      </c>
      <c r="T60" s="25">
        <f>SUM(T59)</f>
        <v>0</v>
      </c>
      <c r="U60" s="25">
        <f t="shared" ref="U60" si="1392">SUM(U59)</f>
        <v>0</v>
      </c>
      <c r="V60" s="25">
        <f t="shared" ref="V60" si="1393">SUM(V59)</f>
        <v>0</v>
      </c>
      <c r="W60" s="25">
        <f t="shared" ref="W60" si="1394">SUM(W59)</f>
        <v>0</v>
      </c>
      <c r="X60" s="25">
        <f t="shared" ref="X60" si="1395">SUM(X59)</f>
        <v>0</v>
      </c>
      <c r="Y60" s="25">
        <f t="shared" ref="Y60" si="1396">SUM(Y59)</f>
        <v>0</v>
      </c>
      <c r="Z60" s="25">
        <f t="shared" ref="Z60" si="1397">SUM(Z59)</f>
        <v>0</v>
      </c>
      <c r="AA60" s="25">
        <f t="shared" ref="AA60" si="1398">SUM(AA59)</f>
        <v>0</v>
      </c>
      <c r="AB60" s="39" t="str">
        <f>IF(SUM(AB59)=0,"",SUM(AB59)/COUNT(AB59))</f>
        <v/>
      </c>
      <c r="AC60" s="25">
        <f>SUM(AC59)</f>
        <v>0</v>
      </c>
      <c r="AD60" s="25">
        <f t="shared" ref="AD60" si="1399">SUM(AD59)</f>
        <v>0</v>
      </c>
      <c r="AE60" s="25">
        <f t="shared" ref="AE60" si="1400">SUM(AE59)</f>
        <v>0</v>
      </c>
      <c r="AF60" s="25">
        <f t="shared" ref="AF60" si="1401">SUM(AF59)</f>
        <v>0</v>
      </c>
      <c r="AG60" s="25">
        <f t="shared" ref="AG60" si="1402">SUM(AG59)</f>
        <v>0</v>
      </c>
      <c r="AH60" s="25">
        <f t="shared" ref="AH60" si="1403">SUM(AH59)</f>
        <v>0</v>
      </c>
      <c r="AI60" s="25">
        <f t="shared" ref="AI60" si="1404">SUM(AI59)</f>
        <v>0</v>
      </c>
      <c r="AJ60" s="25">
        <f t="shared" ref="AJ60" si="1405">SUM(AJ59)</f>
        <v>0</v>
      </c>
      <c r="AK60" s="39" t="str">
        <f>IF(SUM(AK59)=0,"",SUM(AK59)/COUNT(AK59))</f>
        <v/>
      </c>
      <c r="AL60" s="25">
        <f>SUM(AL59)</f>
        <v>0</v>
      </c>
      <c r="AM60" s="25">
        <f t="shared" ref="AM60" si="1406">SUM(AM59)</f>
        <v>0</v>
      </c>
      <c r="AN60" s="25">
        <f t="shared" ref="AN60" si="1407">SUM(AN59)</f>
        <v>0</v>
      </c>
      <c r="AO60" s="25">
        <f t="shared" ref="AO60" si="1408">SUM(AO59)</f>
        <v>0</v>
      </c>
      <c r="AP60" s="25">
        <f t="shared" ref="AP60" si="1409">SUM(AP59)</f>
        <v>0</v>
      </c>
      <c r="AQ60" s="25">
        <f t="shared" ref="AQ60" si="1410">SUM(AQ59)</f>
        <v>0</v>
      </c>
      <c r="AR60" s="25">
        <f t="shared" ref="AR60" si="1411">SUM(AR59)</f>
        <v>0</v>
      </c>
      <c r="AS60" s="25">
        <f t="shared" ref="AS60" si="1412">SUM(AS59)</f>
        <v>0</v>
      </c>
      <c r="AT60" s="39" t="str">
        <f>IF(SUM(AT59)=0,"",SUM(AT59)/COUNT(AT59))</f>
        <v/>
      </c>
      <c r="AU60" s="25">
        <f>SUM(AU59)</f>
        <v>0</v>
      </c>
      <c r="AV60" s="25">
        <f t="shared" ref="AV60" si="1413">SUM(AV59)</f>
        <v>0</v>
      </c>
      <c r="AW60" s="25">
        <f t="shared" ref="AW60" si="1414">SUM(AW59)</f>
        <v>0</v>
      </c>
      <c r="AX60" s="25">
        <f t="shared" ref="AX60" si="1415">SUM(AX59)</f>
        <v>0</v>
      </c>
      <c r="AY60" s="25">
        <f t="shared" ref="AY60" si="1416">SUM(AY59)</f>
        <v>0</v>
      </c>
      <c r="AZ60" s="25">
        <f t="shared" ref="AZ60" si="1417">SUM(AZ59)</f>
        <v>0</v>
      </c>
      <c r="BA60" s="25">
        <f t="shared" ref="BA60" si="1418">SUM(BA59)</f>
        <v>0</v>
      </c>
      <c r="BB60" s="25">
        <f t="shared" ref="BB60" si="1419">SUM(BB59)</f>
        <v>0</v>
      </c>
      <c r="BC60" s="39" t="str">
        <f>IF(SUM(BC59)=0,"",SUM(BC59)/COUNT(BC59))</f>
        <v/>
      </c>
      <c r="BD60" s="25">
        <f>SUM(BD59)</f>
        <v>0</v>
      </c>
      <c r="BE60" s="25">
        <f t="shared" ref="BE60" si="1420">SUM(BE59)</f>
        <v>0</v>
      </c>
      <c r="BF60" s="25">
        <f t="shared" ref="BF60" si="1421">SUM(BF59)</f>
        <v>0</v>
      </c>
      <c r="BG60" s="25">
        <f t="shared" ref="BG60" si="1422">SUM(BG59)</f>
        <v>0</v>
      </c>
      <c r="BH60" s="25">
        <f t="shared" ref="BH60" si="1423">SUM(BH59)</f>
        <v>0</v>
      </c>
      <c r="BI60" s="25">
        <f t="shared" ref="BI60" si="1424">SUM(BI59)</f>
        <v>0</v>
      </c>
      <c r="BJ60" s="25">
        <f t="shared" ref="BJ60" si="1425">SUM(BJ59)</f>
        <v>0</v>
      </c>
      <c r="BK60" s="25">
        <f t="shared" ref="BK60" si="1426">SUM(BK59)</f>
        <v>0</v>
      </c>
      <c r="BL60" s="39" t="str">
        <f>IF(SUM(BL59)=0,"",SUM(BL59)/COUNT(BL59))</f>
        <v/>
      </c>
      <c r="BM60" s="25">
        <f>SUM(BM59)</f>
        <v>0</v>
      </c>
      <c r="BN60" s="25">
        <f t="shared" ref="BN60" si="1427">SUM(BN59)</f>
        <v>0</v>
      </c>
      <c r="BO60" s="25">
        <f t="shared" ref="BO60" si="1428">SUM(BO59)</f>
        <v>0</v>
      </c>
      <c r="BP60" s="25">
        <f t="shared" ref="BP60" si="1429">SUM(BP59)</f>
        <v>0</v>
      </c>
      <c r="BQ60" s="25">
        <f t="shared" ref="BQ60" si="1430">SUM(BQ59)</f>
        <v>0</v>
      </c>
      <c r="BR60" s="25">
        <f t="shared" ref="BR60" si="1431">SUM(BR59)</f>
        <v>0</v>
      </c>
      <c r="BS60" s="25">
        <f t="shared" ref="BS60" si="1432">SUM(BS59)</f>
        <v>0</v>
      </c>
      <c r="BT60" s="25">
        <f t="shared" ref="BT60" si="1433">SUM(BT59)</f>
        <v>0</v>
      </c>
      <c r="BU60" s="39" t="str">
        <f>IF(SUM(BU59)=0,"",SUM(BU59)/COUNT(BU59))</f>
        <v/>
      </c>
      <c r="BV60" s="25">
        <f>SUM(BV59)</f>
        <v>1</v>
      </c>
      <c r="BW60" s="25">
        <f t="shared" ref="BW60" si="1434">SUM(BW59)</f>
        <v>1800000</v>
      </c>
      <c r="BX60" s="25">
        <f t="shared" ref="BX60" si="1435">SUM(BX59)</f>
        <v>0</v>
      </c>
      <c r="BY60" s="25">
        <f t="shared" ref="BY60" si="1436">SUM(BY59)</f>
        <v>27700</v>
      </c>
      <c r="BZ60" s="25">
        <f t="shared" ref="BZ60" si="1437">SUM(BZ59)</f>
        <v>1</v>
      </c>
      <c r="CA60" s="25">
        <f t="shared" ref="CA60" si="1438">SUM(CA59)</f>
        <v>1772300</v>
      </c>
      <c r="CB60" s="25">
        <f t="shared" ref="CB60" si="1439">SUM(CB59)</f>
        <v>147666</v>
      </c>
      <c r="CC60" s="25">
        <f t="shared" ref="CC60" si="1440">SUM(CC59)</f>
        <v>0</v>
      </c>
      <c r="CD60" s="39" t="str">
        <f>IF(SUM(CD59)=0,"",SUM(CD59)/COUNT(CD59))</f>
        <v/>
      </c>
      <c r="CE60" s="25">
        <f>SUM(CE59)</f>
        <v>0</v>
      </c>
      <c r="CF60" s="25">
        <f t="shared" ref="CF60" si="1441">SUM(CF59)</f>
        <v>0</v>
      </c>
      <c r="CG60" s="25">
        <f t="shared" ref="CG60" si="1442">SUM(CG59)</f>
        <v>0</v>
      </c>
      <c r="CH60" s="25">
        <f t="shared" ref="CH60" si="1443">SUM(CH59)</f>
        <v>0</v>
      </c>
      <c r="CI60" s="25">
        <f t="shared" ref="CI60" si="1444">SUM(CI59)</f>
        <v>0</v>
      </c>
      <c r="CJ60" s="25">
        <f t="shared" ref="CJ60" si="1445">SUM(CJ59)</f>
        <v>0</v>
      </c>
      <c r="CK60" s="25">
        <f t="shared" ref="CK60" si="1446">SUM(CK59)</f>
        <v>0</v>
      </c>
      <c r="CL60" s="25">
        <f t="shared" ref="CL60" si="1447">SUM(CL59)</f>
        <v>0</v>
      </c>
      <c r="CM60" s="39" t="str">
        <f>IF(SUM(CM59)=0,"",SUM(CM59)/COUNT(CM59))</f>
        <v/>
      </c>
      <c r="CN60" s="25">
        <f>SUM(CN59)</f>
        <v>0</v>
      </c>
      <c r="CO60" s="25">
        <f t="shared" ref="CO60" si="1448">SUM(CO59)</f>
        <v>0</v>
      </c>
      <c r="CP60" s="25">
        <f t="shared" ref="CP60" si="1449">SUM(CP59)</f>
        <v>0</v>
      </c>
      <c r="CQ60" s="25">
        <f t="shared" ref="CQ60" si="1450">SUM(CQ59)</f>
        <v>0</v>
      </c>
      <c r="CR60" s="25">
        <f t="shared" ref="CR60" si="1451">SUM(CR59)</f>
        <v>0</v>
      </c>
      <c r="CS60" s="25">
        <f t="shared" ref="CS60" si="1452">SUM(CS59)</f>
        <v>0</v>
      </c>
      <c r="CT60" s="25">
        <f t="shared" ref="CT60" si="1453">SUM(CT59)</f>
        <v>0</v>
      </c>
      <c r="CU60" s="25">
        <f t="shared" ref="CU60" si="1454">SUM(CU59)</f>
        <v>0</v>
      </c>
      <c r="CV60" s="39" t="str">
        <f>IF(SUM(CV59)=0,"",SUM(CV59)/COUNT(CV59))</f>
        <v/>
      </c>
      <c r="CW60" s="25">
        <f>SUM(CW59)</f>
        <v>0</v>
      </c>
      <c r="CX60" s="25">
        <f t="shared" ref="CX60" si="1455">SUM(CX59)</f>
        <v>0</v>
      </c>
      <c r="CY60" s="25">
        <f t="shared" ref="CY60" si="1456">SUM(CY59)</f>
        <v>0</v>
      </c>
      <c r="CZ60" s="25">
        <f t="shared" ref="CZ60" si="1457">SUM(CZ59)</f>
        <v>0</v>
      </c>
      <c r="DA60" s="25">
        <f t="shared" ref="DA60" si="1458">SUM(DA59)</f>
        <v>0</v>
      </c>
      <c r="DB60" s="25">
        <f t="shared" ref="DB60" si="1459">SUM(DB59)</f>
        <v>0</v>
      </c>
      <c r="DC60" s="25">
        <f t="shared" ref="DC60" si="1460">SUM(DC59)</f>
        <v>0</v>
      </c>
      <c r="DD60" s="25">
        <f t="shared" ref="DD60" si="1461">SUM(DD59)</f>
        <v>0</v>
      </c>
      <c r="DE60" s="39" t="str">
        <f>IF(SUM(DE59)=0,"",SUM(DE59)/COUNT(DE59))</f>
        <v/>
      </c>
      <c r="DF60" s="25">
        <f>SUM(DF59)</f>
        <v>0</v>
      </c>
      <c r="DG60" s="25">
        <f t="shared" ref="DG60" si="1462">SUM(DG59)</f>
        <v>0</v>
      </c>
      <c r="DH60" s="25">
        <f t="shared" ref="DH60" si="1463">SUM(DH59)</f>
        <v>0</v>
      </c>
      <c r="DI60" s="25">
        <f t="shared" ref="DI60" si="1464">SUM(DI59)</f>
        <v>0</v>
      </c>
      <c r="DJ60" s="25">
        <f t="shared" ref="DJ60" si="1465">SUM(DJ59)</f>
        <v>0</v>
      </c>
      <c r="DK60" s="25">
        <f t="shared" ref="DK60" si="1466">SUM(DK59)</f>
        <v>0</v>
      </c>
      <c r="DL60" s="25">
        <f t="shared" ref="DL60" si="1467">SUM(DL59)</f>
        <v>0</v>
      </c>
      <c r="DM60" s="25">
        <f t="shared" ref="DM60" si="1468">SUM(DM59)</f>
        <v>0</v>
      </c>
      <c r="DN60" s="39" t="str">
        <f>IF(SUM(DN59)=0,"",SUM(DN59)/COUNT(DN59))</f>
        <v/>
      </c>
      <c r="DO60" s="25">
        <f>SUM(DO59)</f>
        <v>0</v>
      </c>
      <c r="DP60" s="25">
        <f t="shared" ref="DP60" si="1469">SUM(DP59)</f>
        <v>0</v>
      </c>
      <c r="DQ60" s="25">
        <f t="shared" ref="DQ60" si="1470">SUM(DQ59)</f>
        <v>0</v>
      </c>
      <c r="DR60" s="25">
        <f t="shared" ref="DR60" si="1471">SUM(DR59)</f>
        <v>0</v>
      </c>
      <c r="DS60" s="25">
        <f t="shared" ref="DS60" si="1472">SUM(DS59)</f>
        <v>0</v>
      </c>
      <c r="DT60" s="25">
        <f t="shared" ref="DT60" si="1473">SUM(DT59)</f>
        <v>0</v>
      </c>
      <c r="DU60" s="25">
        <f t="shared" ref="DU60" si="1474">SUM(DU59)</f>
        <v>0</v>
      </c>
      <c r="DV60" s="25">
        <f t="shared" ref="DV60" si="1475">SUM(DV59)</f>
        <v>0</v>
      </c>
      <c r="DW60" s="39" t="str">
        <f>IF(SUM(DW59)=0,"",SUM(DW59)/COUNT(DW59))</f>
        <v/>
      </c>
      <c r="DX60" s="25">
        <f>SUM(DX59)</f>
        <v>0</v>
      </c>
      <c r="DY60" s="25">
        <f t="shared" ref="DY60" si="1476">SUM(DY59)</f>
        <v>0</v>
      </c>
      <c r="DZ60" s="25">
        <f t="shared" ref="DZ60" si="1477">SUM(DZ59)</f>
        <v>0</v>
      </c>
      <c r="EA60" s="25">
        <f t="shared" ref="EA60" si="1478">SUM(EA59)</f>
        <v>0</v>
      </c>
      <c r="EB60" s="25">
        <f t="shared" ref="EB60" si="1479">SUM(EB59)</f>
        <v>0</v>
      </c>
      <c r="EC60" s="25">
        <f t="shared" ref="EC60" si="1480">SUM(EC59)</f>
        <v>0</v>
      </c>
      <c r="ED60" s="25">
        <f t="shared" ref="ED60" si="1481">SUM(ED59)</f>
        <v>0</v>
      </c>
      <c r="EE60" s="25">
        <f t="shared" ref="EE60" si="1482">SUM(EE59)</f>
        <v>0</v>
      </c>
      <c r="EF60" s="39" t="str">
        <f>IF(SUM(EF59)=0,"",SUM(EF59)/COUNT(EF59))</f>
        <v/>
      </c>
      <c r="EG60" s="25">
        <f>SUM(EG59)</f>
        <v>0</v>
      </c>
      <c r="EH60" s="25">
        <f t="shared" ref="EH60" si="1483">SUM(EH59)</f>
        <v>0</v>
      </c>
      <c r="EI60" s="25">
        <f t="shared" ref="EI60" si="1484">SUM(EI59)</f>
        <v>0</v>
      </c>
      <c r="EJ60" s="25">
        <f t="shared" ref="EJ60" si="1485">SUM(EJ59)</f>
        <v>0</v>
      </c>
      <c r="EK60" s="25">
        <f t="shared" ref="EK60" si="1486">SUM(EK59)</f>
        <v>0</v>
      </c>
      <c r="EL60" s="25">
        <f t="shared" ref="EL60" si="1487">SUM(EL59)</f>
        <v>0</v>
      </c>
      <c r="EM60" s="25">
        <f t="shared" ref="EM60" si="1488">SUM(EM59)</f>
        <v>0</v>
      </c>
      <c r="EN60" s="25">
        <f t="shared" ref="EN60" si="1489">SUM(EN59)</f>
        <v>0</v>
      </c>
      <c r="EO60" s="39" t="str">
        <f>IF(SUM(EO59)=0,"",SUM(EO59)/COUNT(EO59))</f>
        <v/>
      </c>
      <c r="EP60" s="25">
        <f>SUM(EP59)</f>
        <v>0</v>
      </c>
      <c r="EQ60" s="25">
        <f t="shared" ref="EQ60" si="1490">SUM(EQ59)</f>
        <v>0</v>
      </c>
      <c r="ER60" s="25">
        <f t="shared" ref="ER60" si="1491">SUM(ER59)</f>
        <v>0</v>
      </c>
      <c r="ES60" s="25">
        <f t="shared" ref="ES60" si="1492">SUM(ES59)</f>
        <v>0</v>
      </c>
      <c r="ET60" s="25">
        <f t="shared" ref="ET60" si="1493">SUM(ET59)</f>
        <v>0</v>
      </c>
      <c r="EU60" s="25">
        <f t="shared" ref="EU60" si="1494">SUM(EU59)</f>
        <v>0</v>
      </c>
      <c r="EV60" s="25">
        <f t="shared" ref="EV60" si="1495">SUM(EV59)</f>
        <v>0</v>
      </c>
      <c r="EW60" s="25">
        <f t="shared" ref="EW60" si="1496">SUM(EW59)</f>
        <v>0</v>
      </c>
      <c r="EX60" s="39" t="str">
        <f>IF(SUM(EX59)=0,"",SUM(EX59)/COUNT(EX59))</f>
        <v/>
      </c>
      <c r="EY60" s="25">
        <f>SUM(EY59)</f>
        <v>0</v>
      </c>
      <c r="EZ60" s="25">
        <f t="shared" ref="EZ60" si="1497">SUM(EZ59)</f>
        <v>0</v>
      </c>
      <c r="FA60" s="25">
        <f t="shared" ref="FA60" si="1498">SUM(FA59)</f>
        <v>0</v>
      </c>
      <c r="FB60" s="25">
        <f t="shared" ref="FB60" si="1499">SUM(FB59)</f>
        <v>0</v>
      </c>
      <c r="FC60" s="25">
        <f t="shared" ref="FC60" si="1500">SUM(FC59)</f>
        <v>0</v>
      </c>
      <c r="FD60" s="25">
        <f t="shared" ref="FD60" si="1501">SUM(FD59)</f>
        <v>0</v>
      </c>
      <c r="FE60" s="25">
        <f t="shared" ref="FE60" si="1502">SUM(FE59)</f>
        <v>0</v>
      </c>
      <c r="FF60" s="25">
        <f t="shared" ref="FF60" si="1503">SUM(FF59)</f>
        <v>0</v>
      </c>
      <c r="FG60" s="39" t="str">
        <f>IF(SUM(FG59)=0,"",SUM(FG59)/COUNT(FG59))</f>
        <v/>
      </c>
      <c r="FH60" s="25">
        <f>SUM(FH59)</f>
        <v>0</v>
      </c>
      <c r="FI60" s="25">
        <f t="shared" ref="FI60" si="1504">SUM(FI59)</f>
        <v>0</v>
      </c>
      <c r="FJ60" s="25">
        <f t="shared" ref="FJ60" si="1505">SUM(FJ59)</f>
        <v>0</v>
      </c>
      <c r="FK60" s="25">
        <f t="shared" ref="FK60" si="1506">SUM(FK59)</f>
        <v>0</v>
      </c>
      <c r="FL60" s="25">
        <f t="shared" ref="FL60" si="1507">SUM(FL59)</f>
        <v>0</v>
      </c>
      <c r="FM60" s="25">
        <f t="shared" ref="FM60" si="1508">SUM(FM59)</f>
        <v>0</v>
      </c>
      <c r="FN60" s="25">
        <f t="shared" ref="FN60" si="1509">SUM(FN59)</f>
        <v>0</v>
      </c>
      <c r="FO60" s="25">
        <f t="shared" ref="FO60" si="1510">SUM(FO59)</f>
        <v>0</v>
      </c>
      <c r="FP60" s="39" t="str">
        <f>IF(SUM(FP59)=0,"",SUM(FP59)/COUNT(FP59))</f>
        <v/>
      </c>
      <c r="FQ60" s="25">
        <f>SUM(FQ59)</f>
        <v>0</v>
      </c>
      <c r="FR60" s="25">
        <f t="shared" ref="FR60" si="1511">SUM(FR59)</f>
        <v>0</v>
      </c>
      <c r="FS60" s="25">
        <f t="shared" ref="FS60" si="1512">SUM(FS59)</f>
        <v>0</v>
      </c>
      <c r="FT60" s="25">
        <f t="shared" ref="FT60" si="1513">SUM(FT59)</f>
        <v>0</v>
      </c>
      <c r="FU60" s="25">
        <f t="shared" ref="FU60" si="1514">SUM(FU59)</f>
        <v>0</v>
      </c>
      <c r="FV60" s="25">
        <f t="shared" ref="FV60" si="1515">SUM(FV59)</f>
        <v>0</v>
      </c>
      <c r="FW60" s="25">
        <f t="shared" ref="FW60" si="1516">SUM(FW59)</f>
        <v>0</v>
      </c>
      <c r="FX60" s="25">
        <f t="shared" ref="FX60" si="1517">SUM(FX59)</f>
        <v>0</v>
      </c>
      <c r="FY60" s="39" t="str">
        <f>IF(SUM(FY59)=0,"",SUM(FY59)/COUNT(FY59))</f>
        <v/>
      </c>
      <c r="FZ60" s="25">
        <f>SUM(FZ59)</f>
        <v>0</v>
      </c>
      <c r="GA60" s="25">
        <f t="shared" ref="GA60" si="1518">SUM(GA59)</f>
        <v>0</v>
      </c>
      <c r="GB60" s="25">
        <f t="shared" ref="GB60" si="1519">SUM(GB59)</f>
        <v>0</v>
      </c>
      <c r="GC60" s="25">
        <f t="shared" ref="GC60" si="1520">SUM(GC59)</f>
        <v>0</v>
      </c>
      <c r="GD60" s="25">
        <f t="shared" ref="GD60" si="1521">SUM(GD59)</f>
        <v>0</v>
      </c>
      <c r="GE60" s="25">
        <f t="shared" ref="GE60" si="1522">SUM(GE59)</f>
        <v>0</v>
      </c>
      <c r="GF60" s="25">
        <f t="shared" ref="GF60" si="1523">SUM(GF59)</f>
        <v>0</v>
      </c>
      <c r="GG60" s="25">
        <f t="shared" ref="GG60" si="1524">SUM(GG59)</f>
        <v>0</v>
      </c>
      <c r="GH60" s="39" t="str">
        <f>IF(SUM(GH59)=0,"",SUM(GH59)/COUNT(GH59))</f>
        <v/>
      </c>
      <c r="GI60" s="25">
        <f>SUM(GI59)</f>
        <v>0</v>
      </c>
      <c r="GJ60" s="25">
        <f t="shared" ref="GJ60" si="1525">SUM(GJ59)</f>
        <v>0</v>
      </c>
      <c r="GK60" s="25">
        <f t="shared" ref="GK60" si="1526">SUM(GK59)</f>
        <v>0</v>
      </c>
      <c r="GL60" s="25">
        <f t="shared" ref="GL60" si="1527">SUM(GL59)</f>
        <v>0</v>
      </c>
      <c r="GM60" s="25">
        <f t="shared" ref="GM60" si="1528">SUM(GM59)</f>
        <v>0</v>
      </c>
      <c r="GN60" s="25">
        <f t="shared" ref="GN60" si="1529">SUM(GN59)</f>
        <v>0</v>
      </c>
      <c r="GO60" s="25">
        <f t="shared" ref="GO60" si="1530">SUM(GO59)</f>
        <v>0</v>
      </c>
      <c r="GP60" s="25">
        <f t="shared" ref="GP60" si="1531">SUM(GP59)</f>
        <v>0</v>
      </c>
      <c r="GQ60" s="39" t="str">
        <f>IF(SUM(GQ59)=0,"",SUM(GQ59)/COUNT(GQ59))</f>
        <v/>
      </c>
      <c r="GR60" s="25">
        <f>SUM(GR59)</f>
        <v>0</v>
      </c>
      <c r="GS60" s="25">
        <f t="shared" ref="GS60" si="1532">SUM(GS59)</f>
        <v>0</v>
      </c>
      <c r="GT60" s="25">
        <f t="shared" ref="GT60" si="1533">SUM(GT59)</f>
        <v>0</v>
      </c>
      <c r="GU60" s="25">
        <f t="shared" ref="GU60" si="1534">SUM(GU59)</f>
        <v>0</v>
      </c>
      <c r="GV60" s="25">
        <f t="shared" ref="GV60" si="1535">SUM(GV59)</f>
        <v>0</v>
      </c>
      <c r="GW60" s="25">
        <f t="shared" ref="GW60" si="1536">SUM(GW59)</f>
        <v>0</v>
      </c>
      <c r="GX60" s="25">
        <f t="shared" ref="GX60" si="1537">SUM(GX59)</f>
        <v>0</v>
      </c>
      <c r="GY60" s="25">
        <f t="shared" ref="GY60" si="1538">SUM(GY59)</f>
        <v>0</v>
      </c>
      <c r="GZ60" s="39" t="str">
        <f>IF(SUM(GZ59)=0,"",SUM(GZ59)/COUNT(GZ59))</f>
        <v/>
      </c>
      <c r="HA60" s="25">
        <f>SUM(HA59)</f>
        <v>0</v>
      </c>
      <c r="HB60" s="25">
        <f t="shared" ref="HB60" si="1539">SUM(HB59)</f>
        <v>0</v>
      </c>
      <c r="HC60" s="25">
        <f t="shared" ref="HC60" si="1540">SUM(HC59)</f>
        <v>0</v>
      </c>
      <c r="HD60" s="25">
        <f t="shared" ref="HD60" si="1541">SUM(HD59)</f>
        <v>0</v>
      </c>
      <c r="HE60" s="25">
        <f t="shared" ref="HE60" si="1542">SUM(HE59)</f>
        <v>0</v>
      </c>
      <c r="HF60" s="25">
        <f t="shared" ref="HF60" si="1543">SUM(HF59)</f>
        <v>0</v>
      </c>
      <c r="HG60" s="25">
        <f t="shared" ref="HG60" si="1544">SUM(HG59)</f>
        <v>0</v>
      </c>
      <c r="HH60" s="25">
        <f t="shared" ref="HH60" si="1545">SUM(HH59)</f>
        <v>0</v>
      </c>
      <c r="HI60" s="39" t="str">
        <f>IF(SUM(HI59)=0,"",SUM(HI59)/COUNT(HI59))</f>
        <v/>
      </c>
      <c r="HJ60" s="25">
        <f>SUM(HJ59)</f>
        <v>0</v>
      </c>
      <c r="HK60" s="25">
        <f t="shared" ref="HK60:HQ60" si="1546">SUM(HK59)</f>
        <v>0</v>
      </c>
      <c r="HL60" s="25">
        <f t="shared" si="1546"/>
        <v>0</v>
      </c>
      <c r="HM60" s="25">
        <f t="shared" si="1546"/>
        <v>0</v>
      </c>
      <c r="HN60" s="25">
        <f t="shared" si="1546"/>
        <v>0</v>
      </c>
      <c r="HO60" s="25">
        <f t="shared" si="1546"/>
        <v>0</v>
      </c>
      <c r="HP60" s="25">
        <f t="shared" si="1546"/>
        <v>0</v>
      </c>
      <c r="HQ60" s="25">
        <f t="shared" si="1546"/>
        <v>0</v>
      </c>
      <c r="HR60" s="39" t="str">
        <f>IF(SUM(HR59)=0,"",SUM(HR59)/COUNT(HR59))</f>
        <v/>
      </c>
      <c r="HS60" s="25">
        <f>SUM(HS59)</f>
        <v>0</v>
      </c>
      <c r="HT60" s="25">
        <f t="shared" ref="HT60:HZ60" si="1547">SUM(HT59)</f>
        <v>0</v>
      </c>
      <c r="HU60" s="25">
        <f t="shared" si="1547"/>
        <v>0</v>
      </c>
      <c r="HV60" s="25">
        <f t="shared" si="1547"/>
        <v>0</v>
      </c>
      <c r="HW60" s="25">
        <f t="shared" si="1547"/>
        <v>0</v>
      </c>
      <c r="HX60" s="25">
        <f t="shared" si="1547"/>
        <v>0</v>
      </c>
      <c r="HY60" s="25">
        <f t="shared" si="1547"/>
        <v>0</v>
      </c>
      <c r="HZ60" s="25">
        <f t="shared" si="1547"/>
        <v>0</v>
      </c>
      <c r="IA60" s="39" t="str">
        <f>IF(SUM(IA59)=0,"",SUM(IA59)/COUNT(IA59))</f>
        <v/>
      </c>
      <c r="IB60" s="25">
        <f>SUM(IB59)</f>
        <v>0</v>
      </c>
      <c r="IC60" s="25">
        <f t="shared" ref="IC60:II60" si="1548">SUM(IC59)</f>
        <v>0</v>
      </c>
      <c r="ID60" s="25">
        <f t="shared" si="1548"/>
        <v>0</v>
      </c>
      <c r="IE60" s="25">
        <f t="shared" si="1548"/>
        <v>0</v>
      </c>
      <c r="IF60" s="25">
        <f t="shared" si="1548"/>
        <v>0</v>
      </c>
      <c r="IG60" s="25">
        <f t="shared" si="1548"/>
        <v>0</v>
      </c>
      <c r="IH60" s="25">
        <f t="shared" si="1548"/>
        <v>0</v>
      </c>
      <c r="II60" s="25">
        <f t="shared" si="1548"/>
        <v>0</v>
      </c>
      <c r="IJ60" s="39" t="str">
        <f>IF(SUM(IJ59)=0,"",SUM(IJ59)/COUNT(IJ59))</f>
        <v/>
      </c>
      <c r="IK60" s="25">
        <f>SUM(IK59)</f>
        <v>0</v>
      </c>
      <c r="IL60" s="25">
        <f t="shared" ref="IL60:IR60" si="1549">SUM(IL59)</f>
        <v>0</v>
      </c>
      <c r="IM60" s="25">
        <f t="shared" si="1549"/>
        <v>0</v>
      </c>
      <c r="IN60" s="25">
        <f t="shared" si="1549"/>
        <v>0</v>
      </c>
      <c r="IO60" s="25">
        <f t="shared" si="1549"/>
        <v>0</v>
      </c>
      <c r="IP60" s="25">
        <f t="shared" si="1549"/>
        <v>0</v>
      </c>
      <c r="IQ60" s="25">
        <f t="shared" si="1549"/>
        <v>0</v>
      </c>
      <c r="IR60" s="25">
        <f t="shared" si="1549"/>
        <v>0</v>
      </c>
      <c r="IS60" s="39" t="str">
        <f>IF(SUM(IS59)=0,"",SUM(IS59)/COUNT(IS59))</f>
        <v/>
      </c>
      <c r="IT60" s="25">
        <f>SUM(IT59)</f>
        <v>0</v>
      </c>
      <c r="IU60" s="25">
        <f t="shared" ref="IU60:JA60" si="1550">SUM(IU59)</f>
        <v>0</v>
      </c>
      <c r="IV60" s="25">
        <f t="shared" si="1550"/>
        <v>0</v>
      </c>
      <c r="IW60" s="25">
        <f t="shared" si="1550"/>
        <v>0</v>
      </c>
      <c r="IX60" s="25">
        <f t="shared" si="1550"/>
        <v>0</v>
      </c>
      <c r="IY60" s="25">
        <f t="shared" si="1550"/>
        <v>0</v>
      </c>
      <c r="IZ60" s="25">
        <f t="shared" si="1550"/>
        <v>0</v>
      </c>
      <c r="JA60" s="25">
        <f t="shared" si="1550"/>
        <v>0</v>
      </c>
      <c r="JB60" s="39" t="str">
        <f>IF(SUM(JB59)=0,"",SUM(JB59)/COUNT(JB59))</f>
        <v/>
      </c>
      <c r="JC60" s="25">
        <f>SUM(JC59)</f>
        <v>0</v>
      </c>
      <c r="JD60" s="25">
        <f t="shared" ref="JD60:JJ60" si="1551">SUM(JD59)</f>
        <v>0</v>
      </c>
      <c r="JE60" s="25">
        <f t="shared" si="1551"/>
        <v>0</v>
      </c>
      <c r="JF60" s="25">
        <f t="shared" si="1551"/>
        <v>0</v>
      </c>
      <c r="JG60" s="25">
        <f t="shared" si="1551"/>
        <v>0</v>
      </c>
      <c r="JH60" s="25">
        <f t="shared" si="1551"/>
        <v>0</v>
      </c>
      <c r="JI60" s="25">
        <f t="shared" si="1551"/>
        <v>0</v>
      </c>
      <c r="JJ60" s="25">
        <f t="shared" si="1551"/>
        <v>0</v>
      </c>
      <c r="JK60" s="39" t="str">
        <f>IF(SUM(JK59)=0,"",SUM(JK59)/COUNT(JK59))</f>
        <v/>
      </c>
      <c r="JL60" s="25">
        <f>SUM(JL59)</f>
        <v>0</v>
      </c>
      <c r="JM60" s="25">
        <f t="shared" ref="JM60:JS60" si="1552">SUM(JM59)</f>
        <v>0</v>
      </c>
      <c r="JN60" s="25">
        <f t="shared" si="1552"/>
        <v>0</v>
      </c>
      <c r="JO60" s="25">
        <f t="shared" si="1552"/>
        <v>0</v>
      </c>
      <c r="JP60" s="25">
        <f t="shared" si="1552"/>
        <v>0</v>
      </c>
      <c r="JQ60" s="25">
        <f t="shared" si="1552"/>
        <v>0</v>
      </c>
      <c r="JR60" s="25">
        <f t="shared" si="1552"/>
        <v>0</v>
      </c>
      <c r="JS60" s="25">
        <f t="shared" si="1552"/>
        <v>0</v>
      </c>
      <c r="JT60" s="39" t="str">
        <f>IF(SUM(JT59)=0,"",SUM(JT59)/COUNT(JT59))</f>
        <v/>
      </c>
      <c r="JU60" s="25">
        <f>SUM(JU59)</f>
        <v>0</v>
      </c>
      <c r="JV60" s="25">
        <f t="shared" ref="JV60:KB60" si="1553">SUM(JV59)</f>
        <v>0</v>
      </c>
      <c r="JW60" s="25">
        <f t="shared" si="1553"/>
        <v>0</v>
      </c>
      <c r="JX60" s="25">
        <f t="shared" si="1553"/>
        <v>0</v>
      </c>
      <c r="JY60" s="25">
        <f t="shared" si="1553"/>
        <v>0</v>
      </c>
      <c r="JZ60" s="25">
        <f t="shared" si="1553"/>
        <v>0</v>
      </c>
      <c r="KA60" s="25">
        <f t="shared" si="1553"/>
        <v>0</v>
      </c>
      <c r="KB60" s="25">
        <f t="shared" si="1553"/>
        <v>0</v>
      </c>
      <c r="KC60" s="39" t="str">
        <f>IF(SUM(KC59)=0,"",SUM(KC59)/COUNT(KC59))</f>
        <v/>
      </c>
      <c r="KD60" s="25">
        <f>SUM(KD59)</f>
        <v>0</v>
      </c>
      <c r="KE60" s="25">
        <f t="shared" ref="KE60:KK60" si="1554">SUM(KE59)</f>
        <v>0</v>
      </c>
      <c r="KF60" s="25">
        <f t="shared" si="1554"/>
        <v>0</v>
      </c>
      <c r="KG60" s="25">
        <f t="shared" si="1554"/>
        <v>0</v>
      </c>
      <c r="KH60" s="25">
        <f t="shared" si="1554"/>
        <v>0</v>
      </c>
      <c r="KI60" s="25">
        <f t="shared" si="1554"/>
        <v>0</v>
      </c>
      <c r="KJ60" s="25">
        <f t="shared" si="1554"/>
        <v>0</v>
      </c>
      <c r="KK60" s="25">
        <f t="shared" si="1554"/>
        <v>0</v>
      </c>
      <c r="KL60" s="39" t="str">
        <f>IF(SUM(KL59)=0,"",SUM(KL59)/COUNT(KL59))</f>
        <v/>
      </c>
      <c r="KM60" s="25">
        <f>SUM(KM59)</f>
        <v>0</v>
      </c>
      <c r="KN60" s="25">
        <f t="shared" ref="KN60:KT60" si="1555">SUM(KN59)</f>
        <v>0</v>
      </c>
      <c r="KO60" s="25">
        <f t="shared" si="1555"/>
        <v>0</v>
      </c>
      <c r="KP60" s="25">
        <f t="shared" si="1555"/>
        <v>0</v>
      </c>
      <c r="KQ60" s="25">
        <f t="shared" si="1555"/>
        <v>0</v>
      </c>
      <c r="KR60" s="25">
        <f t="shared" si="1555"/>
        <v>0</v>
      </c>
      <c r="KS60" s="25">
        <f t="shared" si="1555"/>
        <v>0</v>
      </c>
      <c r="KT60" s="25">
        <f t="shared" si="1555"/>
        <v>0</v>
      </c>
      <c r="KU60" s="39" t="str">
        <f>IF(SUM(KU59)=0,"",SUM(KU59)/COUNT(KU59))</f>
        <v/>
      </c>
      <c r="KV60" s="25">
        <f>SUM(KV59)</f>
        <v>0</v>
      </c>
      <c r="KW60" s="25">
        <f t="shared" ref="KW60:LC60" si="1556">SUM(KW59)</f>
        <v>0</v>
      </c>
      <c r="KX60" s="25">
        <f t="shared" si="1556"/>
        <v>0</v>
      </c>
      <c r="KY60" s="25">
        <f t="shared" si="1556"/>
        <v>0</v>
      </c>
      <c r="KZ60" s="25">
        <f t="shared" si="1556"/>
        <v>0</v>
      </c>
      <c r="LA60" s="25">
        <f t="shared" si="1556"/>
        <v>0</v>
      </c>
      <c r="LB60" s="25">
        <f t="shared" si="1556"/>
        <v>0</v>
      </c>
      <c r="LC60" s="25">
        <f t="shared" si="1556"/>
        <v>0</v>
      </c>
      <c r="LD60" s="39" t="str">
        <f>IF(SUM(LD59)=0,"",SUM(LD59)/COUNT(LD59))</f>
        <v/>
      </c>
      <c r="LE60" s="25">
        <f>SUM(LE59)</f>
        <v>0</v>
      </c>
      <c r="LF60" s="25">
        <f t="shared" ref="LF60:LL60" si="1557">SUM(LF59)</f>
        <v>0</v>
      </c>
      <c r="LG60" s="25">
        <f t="shared" si="1557"/>
        <v>0</v>
      </c>
      <c r="LH60" s="25">
        <f t="shared" si="1557"/>
        <v>0</v>
      </c>
      <c r="LI60" s="25">
        <f t="shared" si="1557"/>
        <v>0</v>
      </c>
      <c r="LJ60" s="25">
        <f t="shared" si="1557"/>
        <v>0</v>
      </c>
      <c r="LK60" s="25">
        <f t="shared" si="1557"/>
        <v>0</v>
      </c>
      <c r="LL60" s="25">
        <f t="shared" si="1557"/>
        <v>0</v>
      </c>
      <c r="LM60" s="39" t="str">
        <f>IF(SUM(LM59)=0,"",SUM(LM59)/COUNT(LM59))</f>
        <v/>
      </c>
      <c r="LN60" s="25">
        <f>SUM(LN59)</f>
        <v>0</v>
      </c>
      <c r="LO60" s="25">
        <f t="shared" ref="LO60:LU60" si="1558">SUM(LO59)</f>
        <v>0</v>
      </c>
      <c r="LP60" s="25">
        <f t="shared" si="1558"/>
        <v>0</v>
      </c>
      <c r="LQ60" s="25">
        <f t="shared" si="1558"/>
        <v>0</v>
      </c>
      <c r="LR60" s="25">
        <f t="shared" si="1558"/>
        <v>0</v>
      </c>
      <c r="LS60" s="25">
        <f t="shared" si="1558"/>
        <v>0</v>
      </c>
      <c r="LT60" s="25">
        <f t="shared" si="1558"/>
        <v>0</v>
      </c>
      <c r="LU60" s="25">
        <f t="shared" si="1558"/>
        <v>0</v>
      </c>
      <c r="LV60" s="39" t="str">
        <f>IF(SUM(LV59)=0,"",SUM(LV59)/COUNT(LV59))</f>
        <v/>
      </c>
      <c r="LW60" s="25">
        <f>SUM(LW59)</f>
        <v>0</v>
      </c>
      <c r="LX60" s="25">
        <f t="shared" ref="LX60:MD60" si="1559">SUM(LX59)</f>
        <v>0</v>
      </c>
      <c r="LY60" s="25">
        <f t="shared" si="1559"/>
        <v>0</v>
      </c>
      <c r="LZ60" s="25">
        <f t="shared" si="1559"/>
        <v>0</v>
      </c>
      <c r="MA60" s="25">
        <f t="shared" si="1559"/>
        <v>0</v>
      </c>
      <c r="MB60" s="25">
        <f t="shared" si="1559"/>
        <v>0</v>
      </c>
      <c r="MC60" s="25">
        <f t="shared" si="1559"/>
        <v>0</v>
      </c>
      <c r="MD60" s="25">
        <f t="shared" si="1559"/>
        <v>0</v>
      </c>
      <c r="ME60" s="39" t="str">
        <f>IF(SUM(ME59)=0,"",SUM(ME59)/COUNT(ME59))</f>
        <v/>
      </c>
      <c r="MF60" s="25">
        <f>SUM(MF59)</f>
        <v>0</v>
      </c>
      <c r="MG60" s="25">
        <f t="shared" ref="MG60:MM60" si="1560">SUM(MG59)</f>
        <v>0</v>
      </c>
      <c r="MH60" s="25">
        <f t="shared" si="1560"/>
        <v>0</v>
      </c>
      <c r="MI60" s="25">
        <f t="shared" si="1560"/>
        <v>0</v>
      </c>
      <c r="MJ60" s="25">
        <f t="shared" si="1560"/>
        <v>0</v>
      </c>
      <c r="MK60" s="25">
        <f t="shared" si="1560"/>
        <v>0</v>
      </c>
      <c r="ML60" s="25">
        <f t="shared" si="1560"/>
        <v>0</v>
      </c>
      <c r="MM60" s="25">
        <f t="shared" si="1560"/>
        <v>0</v>
      </c>
      <c r="MN60" s="39" t="str">
        <f>IF(SUM(MN59)=0,"",SUM(MN59)/COUNT(MN59))</f>
        <v/>
      </c>
      <c r="MO60" s="25">
        <f>SUM(MO59)</f>
        <v>0</v>
      </c>
      <c r="MP60" s="25">
        <f t="shared" ref="MP60:MV60" si="1561">SUM(MP59)</f>
        <v>0</v>
      </c>
      <c r="MQ60" s="25">
        <f t="shared" si="1561"/>
        <v>0</v>
      </c>
      <c r="MR60" s="25">
        <f t="shared" si="1561"/>
        <v>0</v>
      </c>
      <c r="MS60" s="25">
        <f t="shared" si="1561"/>
        <v>0</v>
      </c>
      <c r="MT60" s="25">
        <f t="shared" si="1561"/>
        <v>0</v>
      </c>
      <c r="MU60" s="25">
        <f t="shared" si="1561"/>
        <v>0</v>
      </c>
      <c r="MV60" s="25">
        <f t="shared" si="1561"/>
        <v>0</v>
      </c>
      <c r="MW60" s="39" t="str">
        <f>IF(SUM(MW59)=0,"",SUM(MW59)/COUNT(MW59))</f>
        <v/>
      </c>
      <c r="MX60" s="25">
        <f>SUM(MX59)</f>
        <v>0</v>
      </c>
      <c r="MY60" s="25">
        <f t="shared" ref="MY60:NE60" si="1562">SUM(MY59)</f>
        <v>0</v>
      </c>
      <c r="MZ60" s="25">
        <f t="shared" si="1562"/>
        <v>0</v>
      </c>
      <c r="NA60" s="25">
        <f t="shared" si="1562"/>
        <v>0</v>
      </c>
      <c r="NB60" s="25">
        <f t="shared" si="1562"/>
        <v>0</v>
      </c>
      <c r="NC60" s="25">
        <f t="shared" si="1562"/>
        <v>0</v>
      </c>
      <c r="ND60" s="25">
        <f t="shared" si="1562"/>
        <v>0</v>
      </c>
      <c r="NE60" s="25">
        <f t="shared" si="1562"/>
        <v>0</v>
      </c>
      <c r="NF60" s="39" t="str">
        <f>IF(SUM(NF59)=0,"",SUM(NF59)/COUNT(NF59))</f>
        <v/>
      </c>
      <c r="NG60" s="25">
        <f>SUM(NG59)</f>
        <v>0</v>
      </c>
      <c r="NH60" s="25">
        <f t="shared" ref="NH60:NN60" si="1563">SUM(NH59)</f>
        <v>0</v>
      </c>
      <c r="NI60" s="25">
        <f t="shared" si="1563"/>
        <v>0</v>
      </c>
      <c r="NJ60" s="25">
        <f t="shared" si="1563"/>
        <v>0</v>
      </c>
      <c r="NK60" s="25">
        <f t="shared" si="1563"/>
        <v>0</v>
      </c>
      <c r="NL60" s="25">
        <f t="shared" si="1563"/>
        <v>0</v>
      </c>
      <c r="NM60" s="25">
        <f t="shared" si="1563"/>
        <v>0</v>
      </c>
      <c r="NN60" s="25">
        <f t="shared" si="1563"/>
        <v>0</v>
      </c>
      <c r="NO60" s="39" t="str">
        <f>IF(SUM(NO59)=0,"",SUM(NO59)/COUNT(NO59))</f>
        <v/>
      </c>
      <c r="NP60" s="25">
        <f>SUM(NP59)</f>
        <v>0</v>
      </c>
      <c r="NQ60" s="25">
        <f t="shared" ref="NQ60:NW60" si="1564">SUM(NQ59)</f>
        <v>0</v>
      </c>
      <c r="NR60" s="25">
        <f t="shared" si="1564"/>
        <v>0</v>
      </c>
      <c r="NS60" s="25">
        <f t="shared" si="1564"/>
        <v>0</v>
      </c>
      <c r="NT60" s="25">
        <f t="shared" si="1564"/>
        <v>0</v>
      </c>
      <c r="NU60" s="25">
        <f t="shared" si="1564"/>
        <v>0</v>
      </c>
      <c r="NV60" s="25">
        <f t="shared" si="1564"/>
        <v>0</v>
      </c>
      <c r="NW60" s="25">
        <f t="shared" si="1564"/>
        <v>0</v>
      </c>
      <c r="NX60" s="39" t="str">
        <f>IF(SUM(NX59)=0,"",SUM(NX59)/COUNT(NX59))</f>
        <v/>
      </c>
      <c r="NY60" s="25">
        <f>SUM(NY59)</f>
        <v>0</v>
      </c>
      <c r="NZ60" s="25">
        <f t="shared" ref="NZ60:OF60" si="1565">SUM(NZ59)</f>
        <v>0</v>
      </c>
      <c r="OA60" s="25">
        <f t="shared" si="1565"/>
        <v>0</v>
      </c>
      <c r="OB60" s="25">
        <f t="shared" si="1565"/>
        <v>0</v>
      </c>
      <c r="OC60" s="25">
        <f t="shared" si="1565"/>
        <v>0</v>
      </c>
      <c r="OD60" s="25">
        <f t="shared" si="1565"/>
        <v>0</v>
      </c>
      <c r="OE60" s="25">
        <f t="shared" si="1565"/>
        <v>0</v>
      </c>
      <c r="OF60" s="25">
        <f t="shared" si="1565"/>
        <v>0</v>
      </c>
      <c r="OG60" s="39" t="str">
        <f>IF(SUM(OG59)=0,"",SUM(OG59)/COUNT(OG59))</f>
        <v/>
      </c>
      <c r="OH60" s="25">
        <f>SUM(OH59)</f>
        <v>0</v>
      </c>
      <c r="OI60" s="25">
        <f t="shared" ref="OI60:OO60" si="1566">SUM(OI59)</f>
        <v>0</v>
      </c>
      <c r="OJ60" s="25">
        <f t="shared" si="1566"/>
        <v>0</v>
      </c>
      <c r="OK60" s="25">
        <f t="shared" si="1566"/>
        <v>0</v>
      </c>
      <c r="OL60" s="25">
        <f t="shared" si="1566"/>
        <v>0</v>
      </c>
      <c r="OM60" s="25">
        <f t="shared" si="1566"/>
        <v>0</v>
      </c>
      <c r="ON60" s="25">
        <f t="shared" si="1566"/>
        <v>0</v>
      </c>
      <c r="OO60" s="25">
        <f t="shared" si="1566"/>
        <v>0</v>
      </c>
      <c r="OP60" s="39" t="str">
        <f>IF(SUM(OP59)=0,"",SUM(OP59)/COUNT(OP59))</f>
        <v/>
      </c>
      <c r="OQ60" s="25">
        <f>SUM(OQ59)</f>
        <v>0</v>
      </c>
      <c r="OR60" s="25">
        <f t="shared" ref="OR60:OX60" si="1567">SUM(OR59)</f>
        <v>0</v>
      </c>
      <c r="OS60" s="25">
        <f t="shared" si="1567"/>
        <v>0</v>
      </c>
      <c r="OT60" s="25">
        <f t="shared" si="1567"/>
        <v>0</v>
      </c>
      <c r="OU60" s="25">
        <f t="shared" si="1567"/>
        <v>0</v>
      </c>
      <c r="OV60" s="25">
        <f t="shared" si="1567"/>
        <v>0</v>
      </c>
      <c r="OW60" s="25">
        <f t="shared" si="1567"/>
        <v>0</v>
      </c>
      <c r="OX60" s="25">
        <f t="shared" si="1567"/>
        <v>0</v>
      </c>
      <c r="OY60" s="39" t="str">
        <f>IF(SUM(OY59)=0,"",SUM(OY59)/COUNT(OY59))</f>
        <v/>
      </c>
      <c r="OZ60" s="27">
        <f>SUM(OZ59)</f>
        <v>0</v>
      </c>
      <c r="PA60" s="27">
        <f t="shared" ref="PA60:PG60" si="1568">SUM(PA59)</f>
        <v>0</v>
      </c>
      <c r="PB60" s="27">
        <f t="shared" si="1568"/>
        <v>0</v>
      </c>
      <c r="PC60" s="27">
        <f t="shared" si="1568"/>
        <v>0</v>
      </c>
      <c r="PD60" s="27">
        <f t="shared" si="1568"/>
        <v>0</v>
      </c>
      <c r="PE60" s="27">
        <f t="shared" si="1568"/>
        <v>0</v>
      </c>
      <c r="PF60" s="27">
        <f t="shared" si="1568"/>
        <v>0</v>
      </c>
      <c r="PG60" s="27">
        <f t="shared" si="1568"/>
        <v>0</v>
      </c>
      <c r="PH60" s="28" t="str">
        <f>IF(SUM(PH59)=0,"",SUM(PH59)/COUNT(PH59))</f>
        <v/>
      </c>
    </row>
    <row r="61" spans="1:424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  <c r="K61" s="24"/>
      <c r="L61" s="24"/>
      <c r="M61" s="24"/>
      <c r="N61" s="24"/>
      <c r="O61" s="24"/>
      <c r="P61" s="24"/>
      <c r="Q61" s="24"/>
      <c r="R61" s="24"/>
      <c r="S61" s="38"/>
      <c r="T61" s="24"/>
      <c r="U61" s="24"/>
      <c r="V61" s="24"/>
      <c r="W61" s="24"/>
      <c r="X61" s="24"/>
      <c r="Y61" s="24"/>
      <c r="Z61" s="24"/>
      <c r="AA61" s="24"/>
      <c r="AB61" s="38"/>
      <c r="AC61" s="24"/>
      <c r="AD61" s="24"/>
      <c r="AE61" s="24"/>
      <c r="AF61" s="24"/>
      <c r="AG61" s="24"/>
      <c r="AH61" s="24"/>
      <c r="AI61" s="24"/>
      <c r="AJ61" s="24"/>
      <c r="AK61" s="38"/>
      <c r="AL61" s="24"/>
      <c r="AM61" s="24"/>
      <c r="AN61" s="24"/>
      <c r="AO61" s="24"/>
      <c r="AP61" s="24"/>
      <c r="AQ61" s="24"/>
      <c r="AR61" s="24"/>
      <c r="AS61" s="24"/>
      <c r="AT61" s="38"/>
      <c r="AU61" s="24"/>
      <c r="AV61" s="24"/>
      <c r="AW61" s="24"/>
      <c r="AX61" s="24"/>
      <c r="AY61" s="24"/>
      <c r="AZ61" s="24"/>
      <c r="BA61" s="24"/>
      <c r="BB61" s="24"/>
      <c r="BC61" s="38"/>
      <c r="BD61" s="24"/>
      <c r="BE61" s="24"/>
      <c r="BF61" s="24"/>
      <c r="BG61" s="24"/>
      <c r="BH61" s="24"/>
      <c r="BI61" s="24"/>
      <c r="BJ61" s="24"/>
      <c r="BK61" s="24"/>
      <c r="BL61" s="38"/>
      <c r="BM61" s="24"/>
      <c r="BN61" s="24"/>
      <c r="BO61" s="24"/>
      <c r="BP61" s="24"/>
      <c r="BQ61" s="24"/>
      <c r="BR61" s="24"/>
      <c r="BS61" s="24"/>
      <c r="BT61" s="24"/>
      <c r="BU61" s="38"/>
      <c r="BV61" s="24"/>
      <c r="BW61" s="24"/>
      <c r="BX61" s="24"/>
      <c r="BY61" s="24"/>
      <c r="BZ61" s="24"/>
      <c r="CA61" s="24"/>
      <c r="CB61" s="24"/>
      <c r="CC61" s="24"/>
      <c r="CD61" s="38"/>
      <c r="CE61" s="24"/>
      <c r="CF61" s="24"/>
      <c r="CG61" s="24"/>
      <c r="CH61" s="24"/>
      <c r="CI61" s="24"/>
      <c r="CJ61" s="24">
        <v>25364000</v>
      </c>
      <c r="CK61" s="24"/>
      <c r="CL61" s="24"/>
      <c r="CM61" s="38"/>
      <c r="CN61" s="24"/>
      <c r="CO61" s="24"/>
      <c r="CP61" s="24"/>
      <c r="CQ61" s="24"/>
      <c r="CR61" s="24"/>
      <c r="CS61" s="24"/>
      <c r="CT61" s="24"/>
      <c r="CU61" s="24"/>
      <c r="CV61" s="38"/>
      <c r="CW61" s="24"/>
      <c r="CX61" s="24"/>
      <c r="CY61" s="24"/>
      <c r="CZ61" s="24"/>
      <c r="DA61" s="24"/>
      <c r="DB61" s="24">
        <v>17632000</v>
      </c>
      <c r="DC61" s="24"/>
      <c r="DD61" s="24"/>
      <c r="DE61" s="38"/>
      <c r="DF61" s="24">
        <v>10</v>
      </c>
      <c r="DG61" s="24">
        <v>12950000</v>
      </c>
      <c r="DH61" s="24">
        <v>10</v>
      </c>
      <c r="DI61" s="24">
        <v>5857000</v>
      </c>
      <c r="DJ61" s="24">
        <v>21</v>
      </c>
      <c r="DK61" s="24">
        <v>24725000</v>
      </c>
      <c r="DL61" s="24">
        <v>21178000</v>
      </c>
      <c r="DM61" s="24">
        <v>1640000</v>
      </c>
      <c r="DN61" s="38">
        <v>7.7399999999999997E-2</v>
      </c>
      <c r="DO61" s="24">
        <v>17</v>
      </c>
      <c r="DP61" s="24">
        <v>15260000</v>
      </c>
      <c r="DQ61" s="24">
        <v>8</v>
      </c>
      <c r="DR61" s="24">
        <v>10248635</v>
      </c>
      <c r="DS61" s="24">
        <v>30</v>
      </c>
      <c r="DT61" s="24">
        <v>29735946</v>
      </c>
      <c r="DU61" s="24">
        <v>27098330</v>
      </c>
      <c r="DV61" s="24">
        <v>1927819</v>
      </c>
      <c r="DW61" s="38">
        <v>7.1099999999999997E-2</v>
      </c>
      <c r="DX61" s="24">
        <v>42</v>
      </c>
      <c r="DY61" s="24">
        <v>30899229</v>
      </c>
      <c r="DZ61" s="24">
        <v>10</v>
      </c>
      <c r="EA61" s="24">
        <v>17796258</v>
      </c>
      <c r="EB61" s="24">
        <v>55</v>
      </c>
      <c r="EC61" s="24">
        <v>42838977</v>
      </c>
      <c r="ED61" s="24">
        <v>35180338</v>
      </c>
      <c r="EE61" s="24">
        <v>2683860</v>
      </c>
      <c r="EF61" s="38">
        <v>7.6300000000000007E-2</v>
      </c>
      <c r="EG61" s="24">
        <v>44</v>
      </c>
      <c r="EH61" s="24">
        <v>40733707</v>
      </c>
      <c r="EI61" s="24">
        <v>45</v>
      </c>
      <c r="EJ61" s="24">
        <v>34950306</v>
      </c>
      <c r="EK61" s="24">
        <v>54</v>
      </c>
      <c r="EL61" s="24">
        <v>48622378</v>
      </c>
      <c r="EM61" s="24">
        <v>45371245</v>
      </c>
      <c r="EN61" s="24">
        <v>3666357</v>
      </c>
      <c r="EO61" s="38">
        <v>8.0799999999999997E-2</v>
      </c>
      <c r="EP61" s="24">
        <v>33</v>
      </c>
      <c r="EQ61" s="24">
        <v>33208593</v>
      </c>
      <c r="ER61" s="24">
        <v>38</v>
      </c>
      <c r="ES61" s="24">
        <v>31957407</v>
      </c>
      <c r="ET61" s="24">
        <v>49</v>
      </c>
      <c r="EU61" s="24">
        <v>49873564</v>
      </c>
      <c r="EV61" s="24">
        <v>46526447</v>
      </c>
      <c r="EW61" s="24">
        <v>3781476</v>
      </c>
      <c r="EX61" s="38">
        <v>8.1199999999999994E-2</v>
      </c>
      <c r="EY61" s="24">
        <v>33</v>
      </c>
      <c r="EZ61" s="24">
        <v>49510000</v>
      </c>
      <c r="FA61" s="24">
        <v>38</v>
      </c>
      <c r="FB61" s="24">
        <v>45030024</v>
      </c>
      <c r="FC61" s="24">
        <v>44</v>
      </c>
      <c r="FD61" s="24">
        <v>54353540</v>
      </c>
      <c r="FE61" s="24">
        <v>57492952</v>
      </c>
      <c r="FF61" s="24">
        <v>5002525</v>
      </c>
      <c r="FG61" s="38">
        <v>8.6999999999999994E-2</v>
      </c>
      <c r="FH61" s="24">
        <v>32</v>
      </c>
      <c r="FI61" s="24">
        <v>60550000</v>
      </c>
      <c r="FJ61" s="24">
        <v>29</v>
      </c>
      <c r="FK61" s="24">
        <v>50937697</v>
      </c>
      <c r="FL61" s="24">
        <v>47</v>
      </c>
      <c r="FM61" s="24">
        <v>64465843</v>
      </c>
      <c r="FN61" s="24">
        <v>59039518</v>
      </c>
      <c r="FO61" s="24">
        <v>5644132</v>
      </c>
      <c r="FP61" s="38">
        <v>9.5500000000000002E-2</v>
      </c>
      <c r="FQ61" s="24">
        <v>26</v>
      </c>
      <c r="FR61" s="24">
        <v>28344387</v>
      </c>
      <c r="FS61" s="24">
        <v>32</v>
      </c>
      <c r="FT61" s="24">
        <v>48453349</v>
      </c>
      <c r="FU61" s="24">
        <v>41</v>
      </c>
      <c r="FV61" s="24">
        <v>44356881</v>
      </c>
      <c r="FW61" s="24">
        <v>54668103</v>
      </c>
      <c r="FX61" s="24">
        <v>4562482</v>
      </c>
      <c r="FY61" s="38">
        <v>8.3500000000000005E-2</v>
      </c>
      <c r="FZ61" s="24">
        <v>33</v>
      </c>
      <c r="GA61" s="24">
        <v>93472574</v>
      </c>
      <c r="GB61" s="24">
        <v>36</v>
      </c>
      <c r="GC61" s="24">
        <v>90433175</v>
      </c>
      <c r="GD61" s="24">
        <v>38</v>
      </c>
      <c r="GE61" s="24">
        <v>47396280</v>
      </c>
      <c r="GF61" s="24">
        <v>49485382</v>
      </c>
      <c r="GG61" s="24">
        <v>3772705</v>
      </c>
      <c r="GH61" s="38">
        <v>7.6200000000000004E-2</v>
      </c>
      <c r="GI61" s="24">
        <v>20</v>
      </c>
      <c r="GJ61" s="24">
        <v>86300000</v>
      </c>
      <c r="GK61" s="24">
        <v>24</v>
      </c>
      <c r="GL61" s="24">
        <v>44762962</v>
      </c>
      <c r="GM61" s="24">
        <v>34</v>
      </c>
      <c r="GN61" s="24">
        <v>88933318</v>
      </c>
      <c r="GO61" s="24">
        <v>56350607</v>
      </c>
      <c r="GP61" s="24">
        <v>3497236</v>
      </c>
      <c r="GQ61" s="38">
        <v>6.2100000000000002E-2</v>
      </c>
      <c r="GR61" s="24">
        <v>21</v>
      </c>
      <c r="GS61" s="24">
        <v>118850000</v>
      </c>
      <c r="GT61" s="24">
        <v>24</v>
      </c>
      <c r="GU61" s="24">
        <v>129828813</v>
      </c>
      <c r="GV61" s="24">
        <v>31</v>
      </c>
      <c r="GW61" s="24">
        <v>77954505</v>
      </c>
      <c r="GX61" s="24">
        <v>84734918</v>
      </c>
      <c r="GY61" s="24">
        <v>5379256</v>
      </c>
      <c r="GZ61" s="38">
        <v>6.3500000000000001E-2</v>
      </c>
      <c r="HA61" s="24">
        <v>24</v>
      </c>
      <c r="HB61" s="24">
        <v>101470000</v>
      </c>
      <c r="HC61" s="24">
        <v>27</v>
      </c>
      <c r="HD61" s="24">
        <v>152656468</v>
      </c>
      <c r="HE61" s="24">
        <v>28</v>
      </c>
      <c r="HF61" s="24">
        <v>26768037</v>
      </c>
      <c r="HG61" s="24">
        <v>77037380</v>
      </c>
      <c r="HH61" s="24">
        <v>4496364</v>
      </c>
      <c r="HI61" s="38">
        <v>5.8400000000000001E-2</v>
      </c>
      <c r="HJ61" s="24">
        <v>17</v>
      </c>
      <c r="HK61" s="24">
        <v>49440000</v>
      </c>
      <c r="HL61" s="24">
        <v>34</v>
      </c>
      <c r="HM61" s="24">
        <v>68491997</v>
      </c>
      <c r="HN61" s="24">
        <v>11</v>
      </c>
      <c r="HO61" s="24">
        <v>7716040</v>
      </c>
      <c r="HP61" s="24">
        <v>32799840</v>
      </c>
      <c r="HQ61" s="24">
        <v>1850428</v>
      </c>
      <c r="HR61" s="38">
        <v>5.6399999999999999E-2</v>
      </c>
      <c r="HS61" s="24">
        <v>3</v>
      </c>
      <c r="HT61" s="24">
        <v>2900000</v>
      </c>
      <c r="HU61" s="24">
        <v>9</v>
      </c>
      <c r="HV61" s="24">
        <v>5522645</v>
      </c>
      <c r="HW61" s="24">
        <v>5</v>
      </c>
      <c r="HX61" s="24">
        <v>5093395</v>
      </c>
      <c r="HY61" s="24">
        <v>6106133</v>
      </c>
      <c r="HZ61" s="24">
        <v>304539</v>
      </c>
      <c r="IA61" s="38">
        <v>4.99E-2</v>
      </c>
      <c r="IB61" s="24">
        <v>5</v>
      </c>
      <c r="IC61" s="24">
        <v>3200000</v>
      </c>
      <c r="ID61" s="24">
        <v>5</v>
      </c>
      <c r="IE61" s="24">
        <v>5185973</v>
      </c>
      <c r="IF61" s="24">
        <v>5</v>
      </c>
      <c r="IG61" s="24">
        <v>3107422</v>
      </c>
      <c r="IH61" s="24">
        <v>5497092</v>
      </c>
      <c r="II61" s="24">
        <v>265361</v>
      </c>
      <c r="IJ61" s="38">
        <v>4.8300000000000003E-2</v>
      </c>
      <c r="IK61" s="24"/>
      <c r="IL61" s="24"/>
      <c r="IM61" s="24"/>
      <c r="IN61" s="24"/>
      <c r="IO61" s="24"/>
      <c r="IP61" s="24"/>
      <c r="IQ61" s="24"/>
      <c r="IR61" s="24"/>
      <c r="IS61" s="38"/>
      <c r="IT61" s="24"/>
      <c r="IU61" s="24"/>
      <c r="IV61" s="24"/>
      <c r="IW61" s="24"/>
      <c r="IX61" s="24"/>
      <c r="IY61" s="24"/>
      <c r="IZ61" s="24"/>
      <c r="JA61" s="24"/>
      <c r="JB61" s="38"/>
      <c r="JC61" s="24"/>
      <c r="JD61" s="24"/>
      <c r="JE61" s="24"/>
      <c r="JF61" s="24"/>
      <c r="JG61" s="24"/>
      <c r="JH61" s="24"/>
      <c r="JI61" s="24"/>
      <c r="JJ61" s="24"/>
      <c r="JK61" s="38"/>
      <c r="JL61" s="24"/>
      <c r="JM61" s="24"/>
      <c r="JN61" s="24"/>
      <c r="JO61" s="24"/>
      <c r="JP61" s="24"/>
      <c r="JQ61" s="24"/>
      <c r="JR61" s="24"/>
      <c r="JS61" s="24"/>
      <c r="JT61" s="38"/>
      <c r="JU61" s="24"/>
      <c r="JV61" s="24"/>
      <c r="JW61" s="24"/>
      <c r="JX61" s="24"/>
      <c r="JY61" s="24"/>
      <c r="JZ61" s="24"/>
      <c r="KA61" s="24"/>
      <c r="KB61" s="24"/>
      <c r="KC61" s="38"/>
      <c r="KD61" s="24"/>
      <c r="KE61" s="24"/>
      <c r="KF61" s="24"/>
      <c r="KG61" s="24"/>
      <c r="KH61" s="24"/>
      <c r="KI61" s="24"/>
      <c r="KJ61" s="24"/>
      <c r="KK61" s="24"/>
      <c r="KL61" s="38"/>
      <c r="KM61" s="24"/>
      <c r="KN61" s="24"/>
      <c r="KO61" s="24"/>
      <c r="KP61" s="24"/>
      <c r="KQ61" s="24"/>
      <c r="KR61" s="24"/>
      <c r="KS61" s="24"/>
      <c r="KT61" s="24"/>
      <c r="KU61" s="38"/>
      <c r="KV61" s="24"/>
      <c r="KW61" s="24"/>
      <c r="KX61" s="24"/>
      <c r="KY61" s="24"/>
      <c r="KZ61" s="24"/>
      <c r="LA61" s="24"/>
      <c r="LB61" s="24"/>
      <c r="LC61" s="24"/>
      <c r="LD61" s="38"/>
      <c r="LE61" s="24"/>
      <c r="LF61" s="24"/>
      <c r="LG61" s="24"/>
      <c r="LH61" s="24"/>
      <c r="LI61" s="24"/>
      <c r="LJ61" s="24"/>
      <c r="LK61" s="24"/>
      <c r="LL61" s="24"/>
      <c r="LM61" s="38"/>
      <c r="LN61" s="24"/>
      <c r="LO61" s="24"/>
      <c r="LP61" s="24"/>
      <c r="LQ61" s="24"/>
      <c r="LR61" s="24"/>
      <c r="LS61" s="24"/>
      <c r="LT61" s="24"/>
      <c r="LU61" s="24"/>
      <c r="LV61" s="38"/>
      <c r="LW61" s="24"/>
      <c r="LX61" s="24"/>
      <c r="LY61" s="24"/>
      <c r="LZ61" s="24"/>
      <c r="MA61" s="24"/>
      <c r="MB61" s="24"/>
      <c r="MC61" s="24"/>
      <c r="MD61" s="24"/>
      <c r="ME61" s="38"/>
      <c r="MF61" s="24"/>
      <c r="MG61" s="24"/>
      <c r="MH61" s="24"/>
      <c r="MI61" s="24"/>
      <c r="MJ61" s="24"/>
      <c r="MK61" s="24"/>
      <c r="ML61" s="24"/>
      <c r="MM61" s="24"/>
      <c r="MN61" s="38"/>
      <c r="MO61" s="24"/>
      <c r="MP61" s="24"/>
      <c r="MQ61" s="24"/>
      <c r="MR61" s="24"/>
      <c r="MS61" s="24"/>
      <c r="MT61" s="24"/>
      <c r="MU61" s="24"/>
      <c r="MV61" s="24"/>
      <c r="MW61" s="38"/>
      <c r="MX61" s="24"/>
      <c r="MY61" s="24"/>
      <c r="MZ61" s="24"/>
      <c r="NA61" s="24"/>
      <c r="NB61" s="24"/>
      <c r="NC61" s="24"/>
      <c r="ND61" s="24"/>
      <c r="NE61" s="24"/>
      <c r="NF61" s="38"/>
      <c r="NG61" s="24"/>
      <c r="NH61" s="24"/>
      <c r="NI61" s="24"/>
      <c r="NJ61" s="24"/>
      <c r="NK61" s="24"/>
      <c r="NL61" s="24"/>
      <c r="NM61" s="24"/>
      <c r="NN61" s="24"/>
      <c r="NO61" s="38"/>
      <c r="NP61" s="24"/>
      <c r="NQ61" s="24"/>
      <c r="NR61" s="24"/>
      <c r="NS61" s="24"/>
      <c r="NT61" s="24"/>
      <c r="NU61" s="24"/>
      <c r="NV61" s="24"/>
      <c r="NW61" s="24"/>
      <c r="NX61" s="38"/>
      <c r="NY61" s="24"/>
      <c r="NZ61" s="24"/>
      <c r="OA61" s="24"/>
      <c r="OB61" s="24"/>
      <c r="OC61" s="24"/>
      <c r="OD61" s="24"/>
      <c r="OE61" s="24"/>
      <c r="OF61" s="24"/>
      <c r="OG61" s="38"/>
      <c r="OH61" s="24"/>
      <c r="OI61" s="24"/>
      <c r="OJ61" s="24"/>
      <c r="OK61" s="24"/>
      <c r="OL61" s="24"/>
      <c r="OM61" s="24"/>
      <c r="ON61" s="24"/>
      <c r="OO61" s="24"/>
      <c r="OP61" s="38"/>
      <c r="OQ61" s="24"/>
      <c r="OR61" s="24"/>
      <c r="OS61" s="24"/>
      <c r="OT61" s="24"/>
      <c r="OU61" s="24"/>
      <c r="OV61" s="24"/>
      <c r="OW61" s="24"/>
      <c r="OX61" s="24"/>
      <c r="OY61" s="38"/>
    </row>
    <row r="62" spans="1:424" s="26" customFormat="1" x14ac:dyDescent="0.2">
      <c r="A62" s="36" t="s">
        <v>73</v>
      </c>
      <c r="B62" s="25">
        <f t="shared" ref="B62:I62" si="1569">SUM(B61)</f>
        <v>0</v>
      </c>
      <c r="C62" s="25">
        <f t="shared" si="1569"/>
        <v>0</v>
      </c>
      <c r="D62" s="25">
        <f t="shared" si="1569"/>
        <v>0</v>
      </c>
      <c r="E62" s="25">
        <f t="shared" si="1569"/>
        <v>0</v>
      </c>
      <c r="F62" s="25">
        <f t="shared" si="1569"/>
        <v>0</v>
      </c>
      <c r="G62" s="25">
        <f t="shared" si="1569"/>
        <v>0</v>
      </c>
      <c r="H62" s="25">
        <f t="shared" si="1569"/>
        <v>0</v>
      </c>
      <c r="I62" s="25">
        <f t="shared" si="1569"/>
        <v>0</v>
      </c>
      <c r="J62" s="39" t="str">
        <f>IF(SUM(J61)=0,"",SUM(J61)/COUNT(J61))</f>
        <v/>
      </c>
      <c r="K62" s="25">
        <f t="shared" ref="K62:R62" si="1570">SUM(K61)</f>
        <v>0</v>
      </c>
      <c r="L62" s="25">
        <f t="shared" si="1570"/>
        <v>0</v>
      </c>
      <c r="M62" s="25">
        <f t="shared" si="1570"/>
        <v>0</v>
      </c>
      <c r="N62" s="25">
        <f t="shared" si="1570"/>
        <v>0</v>
      </c>
      <c r="O62" s="25">
        <f t="shared" si="1570"/>
        <v>0</v>
      </c>
      <c r="P62" s="25">
        <f t="shared" si="1570"/>
        <v>0</v>
      </c>
      <c r="Q62" s="25">
        <f t="shared" si="1570"/>
        <v>0</v>
      </c>
      <c r="R62" s="25">
        <f t="shared" si="1570"/>
        <v>0</v>
      </c>
      <c r="S62" s="39" t="str">
        <f>IF(SUM(S61)=0,"",SUM(S61)/COUNT(S61))</f>
        <v/>
      </c>
      <c r="T62" s="25">
        <f t="shared" ref="T62:AA62" si="1571">SUM(T61)</f>
        <v>0</v>
      </c>
      <c r="U62" s="25">
        <f t="shared" si="1571"/>
        <v>0</v>
      </c>
      <c r="V62" s="25">
        <f t="shared" si="1571"/>
        <v>0</v>
      </c>
      <c r="W62" s="25">
        <f t="shared" si="1571"/>
        <v>0</v>
      </c>
      <c r="X62" s="25">
        <f t="shared" si="1571"/>
        <v>0</v>
      </c>
      <c r="Y62" s="25">
        <f t="shared" si="1571"/>
        <v>0</v>
      </c>
      <c r="Z62" s="25">
        <f t="shared" si="1571"/>
        <v>0</v>
      </c>
      <c r="AA62" s="25">
        <f t="shared" si="1571"/>
        <v>0</v>
      </c>
      <c r="AB62" s="39" t="str">
        <f>IF(SUM(AB61)=0,"",SUM(AB61)/COUNT(AB61))</f>
        <v/>
      </c>
      <c r="AC62" s="25">
        <f t="shared" ref="AC62:AJ62" si="1572">SUM(AC61)</f>
        <v>0</v>
      </c>
      <c r="AD62" s="25">
        <f t="shared" si="1572"/>
        <v>0</v>
      </c>
      <c r="AE62" s="25">
        <f t="shared" si="1572"/>
        <v>0</v>
      </c>
      <c r="AF62" s="25">
        <f t="shared" si="1572"/>
        <v>0</v>
      </c>
      <c r="AG62" s="25">
        <f t="shared" si="1572"/>
        <v>0</v>
      </c>
      <c r="AH62" s="25">
        <f t="shared" si="1572"/>
        <v>0</v>
      </c>
      <c r="AI62" s="25">
        <f t="shared" si="1572"/>
        <v>0</v>
      </c>
      <c r="AJ62" s="25">
        <f t="shared" si="1572"/>
        <v>0</v>
      </c>
      <c r="AK62" s="39" t="str">
        <f>IF(SUM(AK61)=0,"",SUM(AK61)/COUNT(AK61))</f>
        <v/>
      </c>
      <c r="AL62" s="25">
        <f t="shared" ref="AL62:AS62" si="1573">SUM(AL61)</f>
        <v>0</v>
      </c>
      <c r="AM62" s="25">
        <f t="shared" si="1573"/>
        <v>0</v>
      </c>
      <c r="AN62" s="25">
        <f t="shared" si="1573"/>
        <v>0</v>
      </c>
      <c r="AO62" s="25">
        <f t="shared" si="1573"/>
        <v>0</v>
      </c>
      <c r="AP62" s="25">
        <f t="shared" si="1573"/>
        <v>0</v>
      </c>
      <c r="AQ62" s="25">
        <f t="shared" si="1573"/>
        <v>0</v>
      </c>
      <c r="AR62" s="25">
        <f t="shared" si="1573"/>
        <v>0</v>
      </c>
      <c r="AS62" s="25">
        <f t="shared" si="1573"/>
        <v>0</v>
      </c>
      <c r="AT62" s="39" t="str">
        <f>IF(SUM(AT61)=0,"",SUM(AT61)/COUNT(AT61))</f>
        <v/>
      </c>
      <c r="AU62" s="25">
        <f t="shared" ref="AU62:BB62" si="1574">SUM(AU61)</f>
        <v>0</v>
      </c>
      <c r="AV62" s="25">
        <f t="shared" si="1574"/>
        <v>0</v>
      </c>
      <c r="AW62" s="25">
        <f t="shared" si="1574"/>
        <v>0</v>
      </c>
      <c r="AX62" s="25">
        <f t="shared" si="1574"/>
        <v>0</v>
      </c>
      <c r="AY62" s="25">
        <f t="shared" si="1574"/>
        <v>0</v>
      </c>
      <c r="AZ62" s="25">
        <f t="shared" si="1574"/>
        <v>0</v>
      </c>
      <c r="BA62" s="25">
        <f t="shared" si="1574"/>
        <v>0</v>
      </c>
      <c r="BB62" s="25">
        <f t="shared" si="1574"/>
        <v>0</v>
      </c>
      <c r="BC62" s="39" t="str">
        <f>IF(SUM(BC61)=0,"",SUM(BC61)/COUNT(BC61))</f>
        <v/>
      </c>
      <c r="BD62" s="25">
        <f t="shared" ref="BD62:BK62" si="1575">SUM(BD61)</f>
        <v>0</v>
      </c>
      <c r="BE62" s="25">
        <f t="shared" si="1575"/>
        <v>0</v>
      </c>
      <c r="BF62" s="25">
        <f t="shared" si="1575"/>
        <v>0</v>
      </c>
      <c r="BG62" s="25">
        <f t="shared" si="1575"/>
        <v>0</v>
      </c>
      <c r="BH62" s="25">
        <f t="shared" si="1575"/>
        <v>0</v>
      </c>
      <c r="BI62" s="25">
        <f t="shared" si="1575"/>
        <v>0</v>
      </c>
      <c r="BJ62" s="25">
        <f t="shared" si="1575"/>
        <v>0</v>
      </c>
      <c r="BK62" s="25">
        <f t="shared" si="1575"/>
        <v>0</v>
      </c>
      <c r="BL62" s="39" t="str">
        <f>IF(SUM(BL61)=0,"",SUM(BL61)/COUNT(BL61))</f>
        <v/>
      </c>
      <c r="BM62" s="25">
        <f t="shared" ref="BM62:BT62" si="1576">SUM(BM61)</f>
        <v>0</v>
      </c>
      <c r="BN62" s="25">
        <f t="shared" si="1576"/>
        <v>0</v>
      </c>
      <c r="BO62" s="25">
        <f t="shared" si="1576"/>
        <v>0</v>
      </c>
      <c r="BP62" s="25">
        <f t="shared" si="1576"/>
        <v>0</v>
      </c>
      <c r="BQ62" s="25">
        <f t="shared" si="1576"/>
        <v>0</v>
      </c>
      <c r="BR62" s="25">
        <f t="shared" si="1576"/>
        <v>0</v>
      </c>
      <c r="BS62" s="25">
        <f t="shared" si="1576"/>
        <v>0</v>
      </c>
      <c r="BT62" s="25">
        <f t="shared" si="1576"/>
        <v>0</v>
      </c>
      <c r="BU62" s="39" t="str">
        <f>IF(SUM(BU61)=0,"",SUM(BU61)/COUNT(BU61))</f>
        <v/>
      </c>
      <c r="BV62" s="25">
        <f t="shared" ref="BV62:CC62" si="1577">SUM(BV61)</f>
        <v>0</v>
      </c>
      <c r="BW62" s="25">
        <f t="shared" si="1577"/>
        <v>0</v>
      </c>
      <c r="BX62" s="25">
        <f t="shared" si="1577"/>
        <v>0</v>
      </c>
      <c r="BY62" s="25">
        <f t="shared" si="1577"/>
        <v>0</v>
      </c>
      <c r="BZ62" s="25">
        <f t="shared" si="1577"/>
        <v>0</v>
      </c>
      <c r="CA62" s="25">
        <f t="shared" si="1577"/>
        <v>0</v>
      </c>
      <c r="CB62" s="25">
        <f t="shared" si="1577"/>
        <v>0</v>
      </c>
      <c r="CC62" s="25">
        <f t="shared" si="1577"/>
        <v>0</v>
      </c>
      <c r="CD62" s="39" t="str">
        <f>IF(SUM(CD61)=0,"",SUM(CD61)/COUNT(CD61))</f>
        <v/>
      </c>
      <c r="CE62" s="25">
        <f t="shared" ref="CE62:CL62" si="1578">SUM(CE61)</f>
        <v>0</v>
      </c>
      <c r="CF62" s="25">
        <f t="shared" si="1578"/>
        <v>0</v>
      </c>
      <c r="CG62" s="25">
        <f t="shared" si="1578"/>
        <v>0</v>
      </c>
      <c r="CH62" s="25">
        <f t="shared" si="1578"/>
        <v>0</v>
      </c>
      <c r="CI62" s="25">
        <f t="shared" si="1578"/>
        <v>0</v>
      </c>
      <c r="CJ62" s="25">
        <f t="shared" si="1578"/>
        <v>25364000</v>
      </c>
      <c r="CK62" s="25">
        <f t="shared" si="1578"/>
        <v>0</v>
      </c>
      <c r="CL62" s="25">
        <f t="shared" si="1578"/>
        <v>0</v>
      </c>
      <c r="CM62" s="39" t="str">
        <f>IF(SUM(CM61)=0,"",SUM(CM61)/COUNT(CM61))</f>
        <v/>
      </c>
      <c r="CN62" s="25">
        <f t="shared" ref="CN62:CU62" si="1579">SUM(CN61)</f>
        <v>0</v>
      </c>
      <c r="CO62" s="25">
        <f t="shared" si="1579"/>
        <v>0</v>
      </c>
      <c r="CP62" s="25">
        <f t="shared" si="1579"/>
        <v>0</v>
      </c>
      <c r="CQ62" s="25">
        <f t="shared" si="1579"/>
        <v>0</v>
      </c>
      <c r="CR62" s="25">
        <f t="shared" si="1579"/>
        <v>0</v>
      </c>
      <c r="CS62" s="25">
        <f t="shared" si="1579"/>
        <v>0</v>
      </c>
      <c r="CT62" s="25">
        <f t="shared" si="1579"/>
        <v>0</v>
      </c>
      <c r="CU62" s="25">
        <f t="shared" si="1579"/>
        <v>0</v>
      </c>
      <c r="CV62" s="39" t="str">
        <f>IF(SUM(CV61)=0,"",SUM(CV61)/COUNT(CV61))</f>
        <v/>
      </c>
      <c r="CW62" s="25">
        <f t="shared" ref="CW62:DD62" si="1580">SUM(CW61)</f>
        <v>0</v>
      </c>
      <c r="CX62" s="25">
        <f t="shared" si="1580"/>
        <v>0</v>
      </c>
      <c r="CY62" s="25">
        <f t="shared" si="1580"/>
        <v>0</v>
      </c>
      <c r="CZ62" s="25">
        <f t="shared" si="1580"/>
        <v>0</v>
      </c>
      <c r="DA62" s="25">
        <f t="shared" si="1580"/>
        <v>0</v>
      </c>
      <c r="DB62" s="25">
        <f t="shared" si="1580"/>
        <v>17632000</v>
      </c>
      <c r="DC62" s="25">
        <f t="shared" si="1580"/>
        <v>0</v>
      </c>
      <c r="DD62" s="25">
        <f t="shared" si="1580"/>
        <v>0</v>
      </c>
      <c r="DE62" s="39" t="str">
        <f>IF(SUM(DE61)=0,"",SUM(DE61)/COUNT(DE61))</f>
        <v/>
      </c>
      <c r="DF62" s="25">
        <f t="shared" ref="DF62:DM62" si="1581">SUM(DF61)</f>
        <v>10</v>
      </c>
      <c r="DG62" s="25">
        <f t="shared" si="1581"/>
        <v>12950000</v>
      </c>
      <c r="DH62" s="25">
        <f t="shared" si="1581"/>
        <v>10</v>
      </c>
      <c r="DI62" s="25">
        <f t="shared" si="1581"/>
        <v>5857000</v>
      </c>
      <c r="DJ62" s="25">
        <f t="shared" si="1581"/>
        <v>21</v>
      </c>
      <c r="DK62" s="25">
        <f t="shared" si="1581"/>
        <v>24725000</v>
      </c>
      <c r="DL62" s="25">
        <f t="shared" si="1581"/>
        <v>21178000</v>
      </c>
      <c r="DM62" s="25">
        <f t="shared" si="1581"/>
        <v>1640000</v>
      </c>
      <c r="DN62" s="39">
        <f>IF(SUM(DN61)=0,"",SUM(DN61)/COUNT(DN61))</f>
        <v>7.7399999999999997E-2</v>
      </c>
      <c r="DO62" s="25">
        <f t="shared" ref="DO62:DV62" si="1582">SUM(DO61)</f>
        <v>17</v>
      </c>
      <c r="DP62" s="25">
        <f t="shared" si="1582"/>
        <v>15260000</v>
      </c>
      <c r="DQ62" s="25">
        <f t="shared" si="1582"/>
        <v>8</v>
      </c>
      <c r="DR62" s="25">
        <f t="shared" si="1582"/>
        <v>10248635</v>
      </c>
      <c r="DS62" s="25">
        <f t="shared" si="1582"/>
        <v>30</v>
      </c>
      <c r="DT62" s="25">
        <f t="shared" si="1582"/>
        <v>29735946</v>
      </c>
      <c r="DU62" s="25">
        <f t="shared" si="1582"/>
        <v>27098330</v>
      </c>
      <c r="DV62" s="25">
        <f t="shared" si="1582"/>
        <v>1927819</v>
      </c>
      <c r="DW62" s="39">
        <f>IF(SUM(DW61)=0,"",SUM(DW61)/COUNT(DW61))</f>
        <v>7.1099999999999997E-2</v>
      </c>
      <c r="DX62" s="25">
        <f t="shared" ref="DX62:EE62" si="1583">SUM(DX61)</f>
        <v>42</v>
      </c>
      <c r="DY62" s="25">
        <f t="shared" si="1583"/>
        <v>30899229</v>
      </c>
      <c r="DZ62" s="25">
        <f t="shared" si="1583"/>
        <v>10</v>
      </c>
      <c r="EA62" s="25">
        <f t="shared" si="1583"/>
        <v>17796258</v>
      </c>
      <c r="EB62" s="25">
        <f t="shared" si="1583"/>
        <v>55</v>
      </c>
      <c r="EC62" s="25">
        <f t="shared" si="1583"/>
        <v>42838977</v>
      </c>
      <c r="ED62" s="25">
        <f t="shared" si="1583"/>
        <v>35180338</v>
      </c>
      <c r="EE62" s="25">
        <f t="shared" si="1583"/>
        <v>2683860</v>
      </c>
      <c r="EF62" s="39">
        <f>IF(SUM(EF61)=0,"",SUM(EF61)/COUNT(EF61))</f>
        <v>7.6300000000000007E-2</v>
      </c>
      <c r="EG62" s="25">
        <f t="shared" ref="EG62:EN62" si="1584">SUM(EG61)</f>
        <v>44</v>
      </c>
      <c r="EH62" s="25">
        <f t="shared" si="1584"/>
        <v>40733707</v>
      </c>
      <c r="EI62" s="25">
        <f t="shared" si="1584"/>
        <v>45</v>
      </c>
      <c r="EJ62" s="25">
        <f t="shared" si="1584"/>
        <v>34950306</v>
      </c>
      <c r="EK62" s="25">
        <f t="shared" si="1584"/>
        <v>54</v>
      </c>
      <c r="EL62" s="25">
        <f t="shared" si="1584"/>
        <v>48622378</v>
      </c>
      <c r="EM62" s="25">
        <f t="shared" si="1584"/>
        <v>45371245</v>
      </c>
      <c r="EN62" s="25">
        <f t="shared" si="1584"/>
        <v>3666357</v>
      </c>
      <c r="EO62" s="39">
        <f>IF(SUM(EO61)=0,"",SUM(EO61)/COUNT(EO61))</f>
        <v>8.0799999999999997E-2</v>
      </c>
      <c r="EP62" s="25">
        <f t="shared" ref="EP62:EW62" si="1585">SUM(EP61)</f>
        <v>33</v>
      </c>
      <c r="EQ62" s="25">
        <f t="shared" si="1585"/>
        <v>33208593</v>
      </c>
      <c r="ER62" s="25">
        <f t="shared" si="1585"/>
        <v>38</v>
      </c>
      <c r="ES62" s="25">
        <f t="shared" si="1585"/>
        <v>31957407</v>
      </c>
      <c r="ET62" s="25">
        <f t="shared" si="1585"/>
        <v>49</v>
      </c>
      <c r="EU62" s="25">
        <f t="shared" si="1585"/>
        <v>49873564</v>
      </c>
      <c r="EV62" s="25">
        <f t="shared" si="1585"/>
        <v>46526447</v>
      </c>
      <c r="EW62" s="25">
        <f t="shared" si="1585"/>
        <v>3781476</v>
      </c>
      <c r="EX62" s="39">
        <f>IF(SUM(EX61)=0,"",SUM(EX61)/COUNT(EX61))</f>
        <v>8.1199999999999994E-2</v>
      </c>
      <c r="EY62" s="25">
        <f t="shared" ref="EY62:FF62" si="1586">SUM(EY61)</f>
        <v>33</v>
      </c>
      <c r="EZ62" s="25">
        <f t="shared" si="1586"/>
        <v>49510000</v>
      </c>
      <c r="FA62" s="25">
        <f t="shared" si="1586"/>
        <v>38</v>
      </c>
      <c r="FB62" s="25">
        <f t="shared" si="1586"/>
        <v>45030024</v>
      </c>
      <c r="FC62" s="25">
        <f t="shared" si="1586"/>
        <v>44</v>
      </c>
      <c r="FD62" s="25">
        <f t="shared" si="1586"/>
        <v>54353540</v>
      </c>
      <c r="FE62" s="25">
        <f t="shared" si="1586"/>
        <v>57492952</v>
      </c>
      <c r="FF62" s="25">
        <f t="shared" si="1586"/>
        <v>5002525</v>
      </c>
      <c r="FG62" s="39">
        <f>IF(SUM(FG61)=0,"",SUM(FG61)/COUNT(FG61))</f>
        <v>8.6999999999999994E-2</v>
      </c>
      <c r="FH62" s="25">
        <f t="shared" ref="FH62:FO62" si="1587">SUM(FH61)</f>
        <v>32</v>
      </c>
      <c r="FI62" s="25">
        <f t="shared" si="1587"/>
        <v>60550000</v>
      </c>
      <c r="FJ62" s="25">
        <f t="shared" si="1587"/>
        <v>29</v>
      </c>
      <c r="FK62" s="25">
        <f t="shared" si="1587"/>
        <v>50937697</v>
      </c>
      <c r="FL62" s="25">
        <f t="shared" si="1587"/>
        <v>47</v>
      </c>
      <c r="FM62" s="25">
        <f t="shared" si="1587"/>
        <v>64465843</v>
      </c>
      <c r="FN62" s="25">
        <f t="shared" si="1587"/>
        <v>59039518</v>
      </c>
      <c r="FO62" s="25">
        <f t="shared" si="1587"/>
        <v>5644132</v>
      </c>
      <c r="FP62" s="39">
        <f>IF(SUM(FP61)=0,"",SUM(FP61)/COUNT(FP61))</f>
        <v>9.5500000000000002E-2</v>
      </c>
      <c r="FQ62" s="25">
        <f t="shared" ref="FQ62:FX62" si="1588">SUM(FQ61)</f>
        <v>26</v>
      </c>
      <c r="FR62" s="25">
        <f t="shared" si="1588"/>
        <v>28344387</v>
      </c>
      <c r="FS62" s="25">
        <f t="shared" si="1588"/>
        <v>32</v>
      </c>
      <c r="FT62" s="25">
        <f t="shared" si="1588"/>
        <v>48453349</v>
      </c>
      <c r="FU62" s="25">
        <f t="shared" si="1588"/>
        <v>41</v>
      </c>
      <c r="FV62" s="25">
        <f t="shared" si="1588"/>
        <v>44356881</v>
      </c>
      <c r="FW62" s="25">
        <f t="shared" si="1588"/>
        <v>54668103</v>
      </c>
      <c r="FX62" s="25">
        <f t="shared" si="1588"/>
        <v>4562482</v>
      </c>
      <c r="FY62" s="39">
        <f>IF(SUM(FY61)=0,"",SUM(FY61)/COUNT(FY61))</f>
        <v>8.3500000000000005E-2</v>
      </c>
      <c r="FZ62" s="25">
        <f t="shared" ref="FZ62:GG62" si="1589">SUM(FZ61)</f>
        <v>33</v>
      </c>
      <c r="GA62" s="25">
        <f t="shared" si="1589"/>
        <v>93472574</v>
      </c>
      <c r="GB62" s="25">
        <f t="shared" si="1589"/>
        <v>36</v>
      </c>
      <c r="GC62" s="25">
        <f t="shared" si="1589"/>
        <v>90433175</v>
      </c>
      <c r="GD62" s="25">
        <f t="shared" si="1589"/>
        <v>38</v>
      </c>
      <c r="GE62" s="25">
        <f t="shared" si="1589"/>
        <v>47396280</v>
      </c>
      <c r="GF62" s="25">
        <f t="shared" si="1589"/>
        <v>49485382</v>
      </c>
      <c r="GG62" s="25">
        <f t="shared" si="1589"/>
        <v>3772705</v>
      </c>
      <c r="GH62" s="39">
        <f>IF(SUM(GH61)=0,"",SUM(GH61)/COUNT(GH61))</f>
        <v>7.6200000000000004E-2</v>
      </c>
      <c r="GI62" s="25">
        <f t="shared" ref="GI62:GP62" si="1590">SUM(GI61)</f>
        <v>20</v>
      </c>
      <c r="GJ62" s="25">
        <f t="shared" si="1590"/>
        <v>86300000</v>
      </c>
      <c r="GK62" s="25">
        <f t="shared" si="1590"/>
        <v>24</v>
      </c>
      <c r="GL62" s="25">
        <f t="shared" si="1590"/>
        <v>44762962</v>
      </c>
      <c r="GM62" s="25">
        <f t="shared" si="1590"/>
        <v>34</v>
      </c>
      <c r="GN62" s="25">
        <f t="shared" si="1590"/>
        <v>88933318</v>
      </c>
      <c r="GO62" s="25">
        <f t="shared" si="1590"/>
        <v>56350607</v>
      </c>
      <c r="GP62" s="25">
        <f t="shared" si="1590"/>
        <v>3497236</v>
      </c>
      <c r="GQ62" s="39">
        <f>IF(SUM(GQ61)=0,"",SUM(GQ61)/COUNT(GQ61))</f>
        <v>6.2100000000000002E-2</v>
      </c>
      <c r="GR62" s="25">
        <f t="shared" ref="GR62:GY62" si="1591">SUM(GR61)</f>
        <v>21</v>
      </c>
      <c r="GS62" s="25">
        <f t="shared" si="1591"/>
        <v>118850000</v>
      </c>
      <c r="GT62" s="25">
        <f t="shared" si="1591"/>
        <v>24</v>
      </c>
      <c r="GU62" s="25">
        <f t="shared" si="1591"/>
        <v>129828813</v>
      </c>
      <c r="GV62" s="25">
        <f t="shared" si="1591"/>
        <v>31</v>
      </c>
      <c r="GW62" s="25">
        <f t="shared" si="1591"/>
        <v>77954505</v>
      </c>
      <c r="GX62" s="25">
        <f t="shared" si="1591"/>
        <v>84734918</v>
      </c>
      <c r="GY62" s="25">
        <f t="shared" si="1591"/>
        <v>5379256</v>
      </c>
      <c r="GZ62" s="39">
        <f>IF(SUM(GZ61)=0,"",SUM(GZ61)/COUNT(GZ61))</f>
        <v>6.3500000000000001E-2</v>
      </c>
      <c r="HA62" s="25">
        <f t="shared" ref="HA62:HH62" si="1592">SUM(HA61)</f>
        <v>24</v>
      </c>
      <c r="HB62" s="25">
        <f t="shared" si="1592"/>
        <v>101470000</v>
      </c>
      <c r="HC62" s="25">
        <f t="shared" si="1592"/>
        <v>27</v>
      </c>
      <c r="HD62" s="25">
        <f t="shared" si="1592"/>
        <v>152656468</v>
      </c>
      <c r="HE62" s="25">
        <f t="shared" si="1592"/>
        <v>28</v>
      </c>
      <c r="HF62" s="25">
        <f t="shared" si="1592"/>
        <v>26768037</v>
      </c>
      <c r="HG62" s="25">
        <f t="shared" si="1592"/>
        <v>77037380</v>
      </c>
      <c r="HH62" s="25">
        <f t="shared" si="1592"/>
        <v>4496364</v>
      </c>
      <c r="HI62" s="39">
        <f>IF(SUM(HI61)=0,"",SUM(HI61)/COUNT(HI61))</f>
        <v>5.8400000000000001E-2</v>
      </c>
      <c r="HJ62" s="25">
        <f t="shared" ref="HJ62" si="1593">SUM(HJ61)</f>
        <v>17</v>
      </c>
      <c r="HK62" s="25">
        <f t="shared" ref="HK62" si="1594">SUM(HK61)</f>
        <v>49440000</v>
      </c>
      <c r="HL62" s="25">
        <f t="shared" ref="HL62" si="1595">SUM(HL61)</f>
        <v>34</v>
      </c>
      <c r="HM62" s="25">
        <f t="shared" ref="HM62" si="1596">SUM(HM61)</f>
        <v>68491997</v>
      </c>
      <c r="HN62" s="25">
        <f t="shared" ref="HN62" si="1597">SUM(HN61)</f>
        <v>11</v>
      </c>
      <c r="HO62" s="25">
        <f t="shared" ref="HO62" si="1598">SUM(HO61)</f>
        <v>7716040</v>
      </c>
      <c r="HP62" s="25">
        <f t="shared" ref="HP62" si="1599">SUM(HP61)</f>
        <v>32799840</v>
      </c>
      <c r="HQ62" s="25">
        <f t="shared" ref="HQ62" si="1600">SUM(HQ61)</f>
        <v>1850428</v>
      </c>
      <c r="HR62" s="39">
        <f>IF(SUM(HR61)=0,"",SUM(HR61)/COUNT(HR61))</f>
        <v>5.6399999999999999E-2</v>
      </c>
      <c r="HS62" s="25">
        <f t="shared" ref="HS62" si="1601">SUM(HS61)</f>
        <v>3</v>
      </c>
      <c r="HT62" s="25">
        <f t="shared" ref="HT62" si="1602">SUM(HT61)</f>
        <v>2900000</v>
      </c>
      <c r="HU62" s="25">
        <f t="shared" ref="HU62" si="1603">SUM(HU61)</f>
        <v>9</v>
      </c>
      <c r="HV62" s="25">
        <f t="shared" ref="HV62" si="1604">SUM(HV61)</f>
        <v>5522645</v>
      </c>
      <c r="HW62" s="25">
        <f t="shared" ref="HW62" si="1605">SUM(HW61)</f>
        <v>5</v>
      </c>
      <c r="HX62" s="25">
        <f t="shared" ref="HX62" si="1606">SUM(HX61)</f>
        <v>5093395</v>
      </c>
      <c r="HY62" s="25">
        <f t="shared" ref="HY62" si="1607">SUM(HY61)</f>
        <v>6106133</v>
      </c>
      <c r="HZ62" s="25">
        <f t="shared" ref="HZ62" si="1608">SUM(HZ61)</f>
        <v>304539</v>
      </c>
      <c r="IA62" s="39">
        <f>IF(SUM(IA61)=0,"",SUM(IA61)/COUNT(IA61))</f>
        <v>4.99E-2</v>
      </c>
      <c r="IB62" s="25">
        <f t="shared" ref="IB62" si="1609">SUM(IB61)</f>
        <v>5</v>
      </c>
      <c r="IC62" s="25">
        <f t="shared" ref="IC62" si="1610">SUM(IC61)</f>
        <v>3200000</v>
      </c>
      <c r="ID62" s="25">
        <f t="shared" ref="ID62" si="1611">SUM(ID61)</f>
        <v>5</v>
      </c>
      <c r="IE62" s="25">
        <f t="shared" ref="IE62" si="1612">SUM(IE61)</f>
        <v>5185973</v>
      </c>
      <c r="IF62" s="25">
        <f t="shared" ref="IF62" si="1613">SUM(IF61)</f>
        <v>5</v>
      </c>
      <c r="IG62" s="25">
        <f t="shared" ref="IG62" si="1614">SUM(IG61)</f>
        <v>3107422</v>
      </c>
      <c r="IH62" s="25">
        <f t="shared" ref="IH62" si="1615">SUM(IH61)</f>
        <v>5497092</v>
      </c>
      <c r="II62" s="25">
        <f t="shared" ref="II62" si="1616">SUM(II61)</f>
        <v>265361</v>
      </c>
      <c r="IJ62" s="39">
        <f>IF(SUM(IJ61)=0,"",SUM(IJ61)/COUNT(IJ61))</f>
        <v>4.8300000000000003E-2</v>
      </c>
      <c r="IK62" s="25">
        <f t="shared" ref="IK62" si="1617">SUM(IK61)</f>
        <v>0</v>
      </c>
      <c r="IL62" s="25">
        <f t="shared" ref="IL62" si="1618">SUM(IL61)</f>
        <v>0</v>
      </c>
      <c r="IM62" s="25">
        <f t="shared" ref="IM62" si="1619">SUM(IM61)</f>
        <v>0</v>
      </c>
      <c r="IN62" s="25">
        <f t="shared" ref="IN62" si="1620">SUM(IN61)</f>
        <v>0</v>
      </c>
      <c r="IO62" s="25">
        <f t="shared" ref="IO62" si="1621">SUM(IO61)</f>
        <v>0</v>
      </c>
      <c r="IP62" s="25">
        <f t="shared" ref="IP62" si="1622">SUM(IP61)</f>
        <v>0</v>
      </c>
      <c r="IQ62" s="25">
        <f t="shared" ref="IQ62" si="1623">SUM(IQ61)</f>
        <v>0</v>
      </c>
      <c r="IR62" s="25">
        <f t="shared" ref="IR62" si="1624">SUM(IR61)</f>
        <v>0</v>
      </c>
      <c r="IS62" s="39" t="str">
        <f>IF(SUM(IS61)=0,"",SUM(IS61)/COUNT(IS61))</f>
        <v/>
      </c>
      <c r="IT62" s="25">
        <f t="shared" ref="IT62" si="1625">SUM(IT61)</f>
        <v>0</v>
      </c>
      <c r="IU62" s="25">
        <f t="shared" ref="IU62" si="1626">SUM(IU61)</f>
        <v>0</v>
      </c>
      <c r="IV62" s="25">
        <f t="shared" ref="IV62" si="1627">SUM(IV61)</f>
        <v>0</v>
      </c>
      <c r="IW62" s="25">
        <f t="shared" ref="IW62" si="1628">SUM(IW61)</f>
        <v>0</v>
      </c>
      <c r="IX62" s="25">
        <f t="shared" ref="IX62" si="1629">SUM(IX61)</f>
        <v>0</v>
      </c>
      <c r="IY62" s="25">
        <f t="shared" ref="IY62" si="1630">SUM(IY61)</f>
        <v>0</v>
      </c>
      <c r="IZ62" s="25">
        <f t="shared" ref="IZ62" si="1631">SUM(IZ61)</f>
        <v>0</v>
      </c>
      <c r="JA62" s="25">
        <f t="shared" ref="JA62" si="1632">SUM(JA61)</f>
        <v>0</v>
      </c>
      <c r="JB62" s="39" t="str">
        <f>IF(SUM(JB61)=0,"",SUM(JB61)/COUNT(JB61))</f>
        <v/>
      </c>
      <c r="JC62" s="25">
        <f t="shared" ref="JC62" si="1633">SUM(JC61)</f>
        <v>0</v>
      </c>
      <c r="JD62" s="25">
        <f t="shared" ref="JD62" si="1634">SUM(JD61)</f>
        <v>0</v>
      </c>
      <c r="JE62" s="25">
        <f t="shared" ref="JE62" si="1635">SUM(JE61)</f>
        <v>0</v>
      </c>
      <c r="JF62" s="25">
        <f t="shared" ref="JF62" si="1636">SUM(JF61)</f>
        <v>0</v>
      </c>
      <c r="JG62" s="25">
        <f t="shared" ref="JG62" si="1637">SUM(JG61)</f>
        <v>0</v>
      </c>
      <c r="JH62" s="25">
        <f t="shared" ref="JH62" si="1638">SUM(JH61)</f>
        <v>0</v>
      </c>
      <c r="JI62" s="25">
        <f t="shared" ref="JI62" si="1639">SUM(JI61)</f>
        <v>0</v>
      </c>
      <c r="JJ62" s="25">
        <f t="shared" ref="JJ62" si="1640">SUM(JJ61)</f>
        <v>0</v>
      </c>
      <c r="JK62" s="39" t="str">
        <f>IF(SUM(JK61)=0,"",SUM(JK61)/COUNT(JK61))</f>
        <v/>
      </c>
      <c r="JL62" s="25">
        <f t="shared" ref="JL62" si="1641">SUM(JL61)</f>
        <v>0</v>
      </c>
      <c r="JM62" s="25">
        <f t="shared" ref="JM62" si="1642">SUM(JM61)</f>
        <v>0</v>
      </c>
      <c r="JN62" s="25">
        <f t="shared" ref="JN62" si="1643">SUM(JN61)</f>
        <v>0</v>
      </c>
      <c r="JO62" s="25">
        <f t="shared" ref="JO62" si="1644">SUM(JO61)</f>
        <v>0</v>
      </c>
      <c r="JP62" s="25">
        <f t="shared" ref="JP62" si="1645">SUM(JP61)</f>
        <v>0</v>
      </c>
      <c r="JQ62" s="25">
        <f t="shared" ref="JQ62" si="1646">SUM(JQ61)</f>
        <v>0</v>
      </c>
      <c r="JR62" s="25">
        <f t="shared" ref="JR62" si="1647">SUM(JR61)</f>
        <v>0</v>
      </c>
      <c r="JS62" s="25">
        <f t="shared" ref="JS62" si="1648">SUM(JS61)</f>
        <v>0</v>
      </c>
      <c r="JT62" s="39" t="str">
        <f>IF(SUM(JT61)=0,"",SUM(JT61)/COUNT(JT61))</f>
        <v/>
      </c>
      <c r="JU62" s="25">
        <f t="shared" ref="JU62" si="1649">SUM(JU61)</f>
        <v>0</v>
      </c>
      <c r="JV62" s="25">
        <f t="shared" ref="JV62" si="1650">SUM(JV61)</f>
        <v>0</v>
      </c>
      <c r="JW62" s="25">
        <f t="shared" ref="JW62" si="1651">SUM(JW61)</f>
        <v>0</v>
      </c>
      <c r="JX62" s="25">
        <f t="shared" ref="JX62" si="1652">SUM(JX61)</f>
        <v>0</v>
      </c>
      <c r="JY62" s="25">
        <f t="shared" ref="JY62" si="1653">SUM(JY61)</f>
        <v>0</v>
      </c>
      <c r="JZ62" s="25">
        <f t="shared" ref="JZ62" si="1654">SUM(JZ61)</f>
        <v>0</v>
      </c>
      <c r="KA62" s="25">
        <f t="shared" ref="KA62" si="1655">SUM(KA61)</f>
        <v>0</v>
      </c>
      <c r="KB62" s="25">
        <f t="shared" ref="KB62" si="1656">SUM(KB61)</f>
        <v>0</v>
      </c>
      <c r="KC62" s="39" t="str">
        <f>IF(SUM(KC61)=0,"",SUM(KC61)/COUNT(KC61))</f>
        <v/>
      </c>
      <c r="KD62" s="25">
        <f t="shared" ref="KD62" si="1657">SUM(KD61)</f>
        <v>0</v>
      </c>
      <c r="KE62" s="25">
        <f t="shared" ref="KE62" si="1658">SUM(KE61)</f>
        <v>0</v>
      </c>
      <c r="KF62" s="25">
        <f t="shared" ref="KF62" si="1659">SUM(KF61)</f>
        <v>0</v>
      </c>
      <c r="KG62" s="25">
        <f t="shared" ref="KG62" si="1660">SUM(KG61)</f>
        <v>0</v>
      </c>
      <c r="KH62" s="25">
        <f t="shared" ref="KH62" si="1661">SUM(KH61)</f>
        <v>0</v>
      </c>
      <c r="KI62" s="25">
        <f t="shared" ref="KI62" si="1662">SUM(KI61)</f>
        <v>0</v>
      </c>
      <c r="KJ62" s="25">
        <f t="shared" ref="KJ62" si="1663">SUM(KJ61)</f>
        <v>0</v>
      </c>
      <c r="KK62" s="25">
        <f t="shared" ref="KK62" si="1664">SUM(KK61)</f>
        <v>0</v>
      </c>
      <c r="KL62" s="39" t="str">
        <f>IF(SUM(KL61)=0,"",SUM(KL61)/COUNT(KL61))</f>
        <v/>
      </c>
      <c r="KM62" s="25">
        <f t="shared" ref="KM62" si="1665">SUM(KM61)</f>
        <v>0</v>
      </c>
      <c r="KN62" s="25">
        <f t="shared" ref="KN62" si="1666">SUM(KN61)</f>
        <v>0</v>
      </c>
      <c r="KO62" s="25">
        <f t="shared" ref="KO62" si="1667">SUM(KO61)</f>
        <v>0</v>
      </c>
      <c r="KP62" s="25">
        <f t="shared" ref="KP62" si="1668">SUM(KP61)</f>
        <v>0</v>
      </c>
      <c r="KQ62" s="25">
        <f t="shared" ref="KQ62" si="1669">SUM(KQ61)</f>
        <v>0</v>
      </c>
      <c r="KR62" s="25">
        <f t="shared" ref="KR62" si="1670">SUM(KR61)</f>
        <v>0</v>
      </c>
      <c r="KS62" s="25">
        <f t="shared" ref="KS62" si="1671">SUM(KS61)</f>
        <v>0</v>
      </c>
      <c r="KT62" s="25">
        <f t="shared" ref="KT62" si="1672">SUM(KT61)</f>
        <v>0</v>
      </c>
      <c r="KU62" s="39" t="str">
        <f>IF(SUM(KU61)=0,"",SUM(KU61)/COUNT(KU61))</f>
        <v/>
      </c>
      <c r="KV62" s="25">
        <f t="shared" ref="KV62" si="1673">SUM(KV61)</f>
        <v>0</v>
      </c>
      <c r="KW62" s="25">
        <f t="shared" ref="KW62" si="1674">SUM(KW61)</f>
        <v>0</v>
      </c>
      <c r="KX62" s="25">
        <f t="shared" ref="KX62" si="1675">SUM(KX61)</f>
        <v>0</v>
      </c>
      <c r="KY62" s="25">
        <f t="shared" ref="KY62" si="1676">SUM(KY61)</f>
        <v>0</v>
      </c>
      <c r="KZ62" s="25">
        <f t="shared" ref="KZ62" si="1677">SUM(KZ61)</f>
        <v>0</v>
      </c>
      <c r="LA62" s="25">
        <f t="shared" ref="LA62" si="1678">SUM(LA61)</f>
        <v>0</v>
      </c>
      <c r="LB62" s="25">
        <f t="shared" ref="LB62" si="1679">SUM(LB61)</f>
        <v>0</v>
      </c>
      <c r="LC62" s="25">
        <f t="shared" ref="LC62" si="1680">SUM(LC61)</f>
        <v>0</v>
      </c>
      <c r="LD62" s="39" t="str">
        <f>IF(SUM(LD61)=0,"",SUM(LD61)/COUNT(LD61))</f>
        <v/>
      </c>
      <c r="LE62" s="25">
        <f t="shared" ref="LE62" si="1681">SUM(LE61)</f>
        <v>0</v>
      </c>
      <c r="LF62" s="25">
        <f t="shared" ref="LF62" si="1682">SUM(LF61)</f>
        <v>0</v>
      </c>
      <c r="LG62" s="25">
        <f t="shared" ref="LG62" si="1683">SUM(LG61)</f>
        <v>0</v>
      </c>
      <c r="LH62" s="25">
        <f t="shared" ref="LH62" si="1684">SUM(LH61)</f>
        <v>0</v>
      </c>
      <c r="LI62" s="25">
        <f t="shared" ref="LI62" si="1685">SUM(LI61)</f>
        <v>0</v>
      </c>
      <c r="LJ62" s="25">
        <f t="shared" ref="LJ62" si="1686">SUM(LJ61)</f>
        <v>0</v>
      </c>
      <c r="LK62" s="25">
        <f t="shared" ref="LK62" si="1687">SUM(LK61)</f>
        <v>0</v>
      </c>
      <c r="LL62" s="25">
        <f t="shared" ref="LL62" si="1688">SUM(LL61)</f>
        <v>0</v>
      </c>
      <c r="LM62" s="39" t="str">
        <f>IF(SUM(LM61)=0,"",SUM(LM61)/COUNT(LM61))</f>
        <v/>
      </c>
      <c r="LN62" s="25">
        <f t="shared" ref="LN62" si="1689">SUM(LN61)</f>
        <v>0</v>
      </c>
      <c r="LO62" s="25">
        <f t="shared" ref="LO62" si="1690">SUM(LO61)</f>
        <v>0</v>
      </c>
      <c r="LP62" s="25">
        <f t="shared" ref="LP62" si="1691">SUM(LP61)</f>
        <v>0</v>
      </c>
      <c r="LQ62" s="25">
        <f t="shared" ref="LQ62" si="1692">SUM(LQ61)</f>
        <v>0</v>
      </c>
      <c r="LR62" s="25">
        <f t="shared" ref="LR62" si="1693">SUM(LR61)</f>
        <v>0</v>
      </c>
      <c r="LS62" s="25">
        <f t="shared" ref="LS62" si="1694">SUM(LS61)</f>
        <v>0</v>
      </c>
      <c r="LT62" s="25">
        <f t="shared" ref="LT62" si="1695">SUM(LT61)</f>
        <v>0</v>
      </c>
      <c r="LU62" s="25">
        <f t="shared" ref="LU62" si="1696">SUM(LU61)</f>
        <v>0</v>
      </c>
      <c r="LV62" s="39" t="str">
        <f>IF(SUM(LV61)=0,"",SUM(LV61)/COUNT(LV61))</f>
        <v/>
      </c>
      <c r="LW62" s="25">
        <f t="shared" ref="LW62" si="1697">SUM(LW61)</f>
        <v>0</v>
      </c>
      <c r="LX62" s="25">
        <f t="shared" ref="LX62" si="1698">SUM(LX61)</f>
        <v>0</v>
      </c>
      <c r="LY62" s="25">
        <f t="shared" ref="LY62" si="1699">SUM(LY61)</f>
        <v>0</v>
      </c>
      <c r="LZ62" s="25">
        <f t="shared" ref="LZ62" si="1700">SUM(LZ61)</f>
        <v>0</v>
      </c>
      <c r="MA62" s="25">
        <f t="shared" ref="MA62" si="1701">SUM(MA61)</f>
        <v>0</v>
      </c>
      <c r="MB62" s="25">
        <f t="shared" ref="MB62" si="1702">SUM(MB61)</f>
        <v>0</v>
      </c>
      <c r="MC62" s="25">
        <f t="shared" ref="MC62" si="1703">SUM(MC61)</f>
        <v>0</v>
      </c>
      <c r="MD62" s="25">
        <f t="shared" ref="MD62" si="1704">SUM(MD61)</f>
        <v>0</v>
      </c>
      <c r="ME62" s="39" t="str">
        <f>IF(SUM(ME61)=0,"",SUM(ME61)/COUNT(ME61))</f>
        <v/>
      </c>
      <c r="MF62" s="25">
        <f t="shared" ref="MF62" si="1705">SUM(MF61)</f>
        <v>0</v>
      </c>
      <c r="MG62" s="25">
        <f t="shared" ref="MG62:MM62" si="1706">SUM(MG61)</f>
        <v>0</v>
      </c>
      <c r="MH62" s="25">
        <f t="shared" si="1706"/>
        <v>0</v>
      </c>
      <c r="MI62" s="25">
        <f t="shared" si="1706"/>
        <v>0</v>
      </c>
      <c r="MJ62" s="25">
        <f t="shared" si="1706"/>
        <v>0</v>
      </c>
      <c r="MK62" s="25">
        <f t="shared" si="1706"/>
        <v>0</v>
      </c>
      <c r="ML62" s="25">
        <f t="shared" si="1706"/>
        <v>0</v>
      </c>
      <c r="MM62" s="25">
        <f t="shared" si="1706"/>
        <v>0</v>
      </c>
      <c r="MN62" s="39" t="str">
        <f>IF(SUM(MN61)=0,"",SUM(MN61)/COUNT(MN61))</f>
        <v/>
      </c>
      <c r="MO62" s="25">
        <f t="shared" ref="MO62" si="1707">SUM(MO61)</f>
        <v>0</v>
      </c>
      <c r="MP62" s="25">
        <f t="shared" ref="MP62:MV62" si="1708">SUM(MP61)</f>
        <v>0</v>
      </c>
      <c r="MQ62" s="25">
        <f t="shared" si="1708"/>
        <v>0</v>
      </c>
      <c r="MR62" s="25">
        <f t="shared" si="1708"/>
        <v>0</v>
      </c>
      <c r="MS62" s="25">
        <f t="shared" si="1708"/>
        <v>0</v>
      </c>
      <c r="MT62" s="25">
        <f t="shared" si="1708"/>
        <v>0</v>
      </c>
      <c r="MU62" s="25">
        <f t="shared" si="1708"/>
        <v>0</v>
      </c>
      <c r="MV62" s="25">
        <f t="shared" si="1708"/>
        <v>0</v>
      </c>
      <c r="MW62" s="39" t="str">
        <f>IF(SUM(MW61)=0,"",SUM(MW61)/COUNT(MW61))</f>
        <v/>
      </c>
      <c r="MX62" s="25">
        <f t="shared" ref="MX62" si="1709">SUM(MX61)</f>
        <v>0</v>
      </c>
      <c r="MY62" s="25">
        <f t="shared" ref="MY62:NE62" si="1710">SUM(MY61)</f>
        <v>0</v>
      </c>
      <c r="MZ62" s="25">
        <f t="shared" si="1710"/>
        <v>0</v>
      </c>
      <c r="NA62" s="25">
        <f t="shared" si="1710"/>
        <v>0</v>
      </c>
      <c r="NB62" s="25">
        <f t="shared" si="1710"/>
        <v>0</v>
      </c>
      <c r="NC62" s="25">
        <f t="shared" si="1710"/>
        <v>0</v>
      </c>
      <c r="ND62" s="25">
        <f t="shared" si="1710"/>
        <v>0</v>
      </c>
      <c r="NE62" s="25">
        <f t="shared" si="1710"/>
        <v>0</v>
      </c>
      <c r="NF62" s="39" t="str">
        <f>IF(SUM(NF61)=0,"",SUM(NF61)/COUNT(NF61))</f>
        <v/>
      </c>
      <c r="NG62" s="25">
        <f t="shared" ref="NG62" si="1711">SUM(NG61)</f>
        <v>0</v>
      </c>
      <c r="NH62" s="25">
        <f t="shared" ref="NH62:NN62" si="1712">SUM(NH61)</f>
        <v>0</v>
      </c>
      <c r="NI62" s="25">
        <f t="shared" si="1712"/>
        <v>0</v>
      </c>
      <c r="NJ62" s="25">
        <f t="shared" si="1712"/>
        <v>0</v>
      </c>
      <c r="NK62" s="25">
        <f t="shared" si="1712"/>
        <v>0</v>
      </c>
      <c r="NL62" s="25">
        <f t="shared" si="1712"/>
        <v>0</v>
      </c>
      <c r="NM62" s="25">
        <f t="shared" si="1712"/>
        <v>0</v>
      </c>
      <c r="NN62" s="25">
        <f t="shared" si="1712"/>
        <v>0</v>
      </c>
      <c r="NO62" s="39" t="str">
        <f>IF(SUM(NO61)=0,"",SUM(NO61)/COUNT(NO61))</f>
        <v/>
      </c>
      <c r="NP62" s="25">
        <f t="shared" ref="NP62" si="1713">SUM(NP61)</f>
        <v>0</v>
      </c>
      <c r="NQ62" s="25">
        <f t="shared" ref="NQ62:NW62" si="1714">SUM(NQ61)</f>
        <v>0</v>
      </c>
      <c r="NR62" s="25">
        <f t="shared" si="1714"/>
        <v>0</v>
      </c>
      <c r="NS62" s="25">
        <f t="shared" si="1714"/>
        <v>0</v>
      </c>
      <c r="NT62" s="25">
        <f t="shared" si="1714"/>
        <v>0</v>
      </c>
      <c r="NU62" s="25">
        <f t="shared" si="1714"/>
        <v>0</v>
      </c>
      <c r="NV62" s="25">
        <f t="shared" si="1714"/>
        <v>0</v>
      </c>
      <c r="NW62" s="25">
        <f t="shared" si="1714"/>
        <v>0</v>
      </c>
      <c r="NX62" s="39" t="str">
        <f>IF(SUM(NX61)=0,"",SUM(NX61)/COUNT(NX61))</f>
        <v/>
      </c>
      <c r="NY62" s="25">
        <f t="shared" ref="NY62" si="1715">SUM(NY61)</f>
        <v>0</v>
      </c>
      <c r="NZ62" s="25">
        <f t="shared" ref="NZ62:OF62" si="1716">SUM(NZ61)</f>
        <v>0</v>
      </c>
      <c r="OA62" s="25">
        <f t="shared" si="1716"/>
        <v>0</v>
      </c>
      <c r="OB62" s="25">
        <f t="shared" si="1716"/>
        <v>0</v>
      </c>
      <c r="OC62" s="25">
        <f t="shared" si="1716"/>
        <v>0</v>
      </c>
      <c r="OD62" s="25">
        <f t="shared" si="1716"/>
        <v>0</v>
      </c>
      <c r="OE62" s="25">
        <f t="shared" si="1716"/>
        <v>0</v>
      </c>
      <c r="OF62" s="25">
        <f t="shared" si="1716"/>
        <v>0</v>
      </c>
      <c r="OG62" s="39" t="str">
        <f>IF(SUM(OG61)=0,"",SUM(OG61)/COUNT(OG61))</f>
        <v/>
      </c>
      <c r="OH62" s="25">
        <f t="shared" ref="OH62" si="1717">SUM(OH61)</f>
        <v>0</v>
      </c>
      <c r="OI62" s="25">
        <f t="shared" ref="OI62:OO62" si="1718">SUM(OI61)</f>
        <v>0</v>
      </c>
      <c r="OJ62" s="25">
        <f t="shared" si="1718"/>
        <v>0</v>
      </c>
      <c r="OK62" s="25">
        <f t="shared" si="1718"/>
        <v>0</v>
      </c>
      <c r="OL62" s="25">
        <f t="shared" si="1718"/>
        <v>0</v>
      </c>
      <c r="OM62" s="25">
        <f t="shared" si="1718"/>
        <v>0</v>
      </c>
      <c r="ON62" s="25">
        <f t="shared" si="1718"/>
        <v>0</v>
      </c>
      <c r="OO62" s="25">
        <f t="shared" si="1718"/>
        <v>0</v>
      </c>
      <c r="OP62" s="39" t="str">
        <f>IF(SUM(OP61)=0,"",SUM(OP61)/COUNT(OP61))</f>
        <v/>
      </c>
      <c r="OQ62" s="25">
        <f t="shared" ref="OQ62" si="1719">SUM(OQ61)</f>
        <v>0</v>
      </c>
      <c r="OR62" s="25">
        <f t="shared" ref="OR62:OX62" si="1720">SUM(OR61)</f>
        <v>0</v>
      </c>
      <c r="OS62" s="25">
        <f t="shared" si="1720"/>
        <v>0</v>
      </c>
      <c r="OT62" s="25">
        <f t="shared" si="1720"/>
        <v>0</v>
      </c>
      <c r="OU62" s="25">
        <f t="shared" si="1720"/>
        <v>0</v>
      </c>
      <c r="OV62" s="25">
        <f t="shared" si="1720"/>
        <v>0</v>
      </c>
      <c r="OW62" s="25">
        <f t="shared" si="1720"/>
        <v>0</v>
      </c>
      <c r="OX62" s="25">
        <f t="shared" si="1720"/>
        <v>0</v>
      </c>
      <c r="OY62" s="39" t="str">
        <f>IF(SUM(OY61)=0,"",SUM(OY61)/COUNT(OY61))</f>
        <v/>
      </c>
      <c r="OZ62" s="27">
        <f t="shared" ref="OZ62" si="1721">SUM(OZ61)</f>
        <v>0</v>
      </c>
      <c r="PA62" s="27">
        <f t="shared" ref="PA62:PG62" si="1722">SUM(PA61)</f>
        <v>0</v>
      </c>
      <c r="PB62" s="27">
        <f t="shared" si="1722"/>
        <v>0</v>
      </c>
      <c r="PC62" s="27">
        <f t="shared" si="1722"/>
        <v>0</v>
      </c>
      <c r="PD62" s="27">
        <f t="shared" si="1722"/>
        <v>0</v>
      </c>
      <c r="PE62" s="27">
        <f t="shared" si="1722"/>
        <v>0</v>
      </c>
      <c r="PF62" s="27">
        <f t="shared" si="1722"/>
        <v>0</v>
      </c>
      <c r="PG62" s="27">
        <f t="shared" si="1722"/>
        <v>0</v>
      </c>
      <c r="PH62" s="28" t="str">
        <f>IF(SUM(PH61)=0,"",SUM(PH61)/COUNT(PH61))</f>
        <v/>
      </c>
    </row>
    <row r="63" spans="1:424" s="29" customFormat="1" ht="12.5" thickBot="1" x14ac:dyDescent="0.25">
      <c r="A63" s="37" t="s">
        <v>61</v>
      </c>
      <c r="B63" s="40">
        <f t="shared" ref="B63:I63" si="1723">SUM(B56,B54,B52,B47,B38,B31,B17,B58,B60,B62)</f>
        <v>74</v>
      </c>
      <c r="C63" s="40">
        <f t="shared" si="1723"/>
        <v>62754616</v>
      </c>
      <c r="D63" s="40">
        <f t="shared" si="1723"/>
        <v>116</v>
      </c>
      <c r="E63" s="40">
        <f t="shared" si="1723"/>
        <v>38422810</v>
      </c>
      <c r="F63" s="40">
        <f t="shared" si="1723"/>
        <v>68</v>
      </c>
      <c r="G63" s="40">
        <f t="shared" si="1723"/>
        <v>56467806</v>
      </c>
      <c r="H63" s="40">
        <f t="shared" si="1723"/>
        <v>0</v>
      </c>
      <c r="I63" s="40">
        <f t="shared" si="1723"/>
        <v>6973026</v>
      </c>
      <c r="J63" s="43"/>
      <c r="K63" s="40">
        <f t="shared" ref="K63:R63" si="1724">SUM(K56,K54,K52,K47,K38,K31,K17,K58,K60,K62)</f>
        <v>1062</v>
      </c>
      <c r="L63" s="40">
        <f t="shared" si="1724"/>
        <v>85231000</v>
      </c>
      <c r="M63" s="40">
        <f t="shared" si="1724"/>
        <v>757</v>
      </c>
      <c r="N63" s="40">
        <f t="shared" si="1724"/>
        <v>44000000</v>
      </c>
      <c r="O63" s="40">
        <f t="shared" si="1724"/>
        <v>411</v>
      </c>
      <c r="P63" s="40">
        <f t="shared" si="1724"/>
        <v>69532000</v>
      </c>
      <c r="Q63" s="40">
        <f t="shared" si="1724"/>
        <v>95000000</v>
      </c>
      <c r="R63" s="40">
        <f t="shared" si="1724"/>
        <v>10440000</v>
      </c>
      <c r="S63" s="41">
        <f>R63/Q63</f>
        <v>0.10989473684210527</v>
      </c>
      <c r="T63" s="40">
        <f t="shared" ref="T63:AA63" si="1725">SUM(T56,T54,T52,T47,T38,T31,T17,T58,T60,T62)</f>
        <v>699</v>
      </c>
      <c r="U63" s="40">
        <f t="shared" si="1725"/>
        <v>28349910</v>
      </c>
      <c r="V63" s="40">
        <f t="shared" si="1725"/>
        <v>0</v>
      </c>
      <c r="W63" s="40">
        <f t="shared" si="1725"/>
        <v>0</v>
      </c>
      <c r="X63" s="40">
        <f t="shared" si="1725"/>
        <v>0</v>
      </c>
      <c r="Y63" s="40">
        <f t="shared" si="1725"/>
        <v>0</v>
      </c>
      <c r="Z63" s="40">
        <f t="shared" si="1725"/>
        <v>0</v>
      </c>
      <c r="AA63" s="40">
        <f t="shared" si="1725"/>
        <v>0</v>
      </c>
      <c r="AB63" s="43"/>
      <c r="AC63" s="40">
        <f t="shared" ref="AC63:AJ63" si="1726">SUM(AC56,AC54,AC52,AC47,AC38,AC31,AC17,AC58,AC60,AC62)</f>
        <v>574</v>
      </c>
      <c r="AD63" s="40">
        <f t="shared" si="1726"/>
        <v>56295235</v>
      </c>
      <c r="AE63" s="40">
        <f t="shared" si="1726"/>
        <v>0</v>
      </c>
      <c r="AF63" s="40">
        <f t="shared" si="1726"/>
        <v>0</v>
      </c>
      <c r="AG63" s="40">
        <f t="shared" si="1726"/>
        <v>2425</v>
      </c>
      <c r="AH63" s="40">
        <f t="shared" si="1726"/>
        <v>83410000</v>
      </c>
      <c r="AI63" s="40">
        <f t="shared" si="1726"/>
        <v>0</v>
      </c>
      <c r="AJ63" s="40">
        <f t="shared" si="1726"/>
        <v>0</v>
      </c>
      <c r="AK63" s="43"/>
      <c r="AL63" s="40">
        <f t="shared" ref="AL63:AS63" si="1727">SUM(AL56,AL54,AL52,AL47,AL38,AL31,AL17,AL58,AL60,AL62)</f>
        <v>6623</v>
      </c>
      <c r="AM63" s="40">
        <f t="shared" si="1727"/>
        <v>239120000</v>
      </c>
      <c r="AN63" s="40">
        <f t="shared" si="1727"/>
        <v>0</v>
      </c>
      <c r="AO63" s="40">
        <f t="shared" si="1727"/>
        <v>118408000</v>
      </c>
      <c r="AP63" s="40">
        <f t="shared" si="1727"/>
        <v>0</v>
      </c>
      <c r="AQ63" s="40">
        <f t="shared" si="1727"/>
        <v>204089000</v>
      </c>
      <c r="AR63" s="40">
        <f t="shared" si="1727"/>
        <v>131900000</v>
      </c>
      <c r="AS63" s="40">
        <f t="shared" si="1727"/>
        <v>15164000</v>
      </c>
      <c r="AT63" s="41">
        <f>AS63/AR63</f>
        <v>0.11496588324488248</v>
      </c>
      <c r="AU63" s="40">
        <f t="shared" ref="AU63:BB63" si="1728">SUM(AU56,AU54,AU52,AU47,AU38,AU31,AU17,AU58,AU60,AU62)</f>
        <v>2794</v>
      </c>
      <c r="AV63" s="40">
        <f t="shared" si="1728"/>
        <v>93026467</v>
      </c>
      <c r="AW63" s="40">
        <f t="shared" si="1728"/>
        <v>0</v>
      </c>
      <c r="AX63" s="40">
        <f t="shared" si="1728"/>
        <v>103461223</v>
      </c>
      <c r="AY63" s="40">
        <f t="shared" si="1728"/>
        <v>3687</v>
      </c>
      <c r="AZ63" s="40">
        <f t="shared" si="1728"/>
        <v>72944271</v>
      </c>
      <c r="BA63" s="40">
        <f t="shared" si="1728"/>
        <v>77333119</v>
      </c>
      <c r="BB63" s="40">
        <f t="shared" si="1728"/>
        <v>9035000</v>
      </c>
      <c r="BC63" s="43"/>
      <c r="BD63" s="40">
        <f t="shared" ref="BD63:BK63" si="1729">SUM(BD56,BD54,BD52,BD47,BD38,BD31,BD17,BD58,BD60,BD62)</f>
        <v>191</v>
      </c>
      <c r="BE63" s="40">
        <f t="shared" si="1729"/>
        <v>95361748</v>
      </c>
      <c r="BF63" s="40">
        <f t="shared" si="1729"/>
        <v>0</v>
      </c>
      <c r="BG63" s="40">
        <f t="shared" si="1729"/>
        <v>91013089</v>
      </c>
      <c r="BH63" s="40">
        <f t="shared" si="1729"/>
        <v>3927</v>
      </c>
      <c r="BI63" s="40">
        <f t="shared" si="1729"/>
        <v>77292930</v>
      </c>
      <c r="BJ63" s="40">
        <f t="shared" si="1729"/>
        <v>95581422</v>
      </c>
      <c r="BK63" s="40">
        <f t="shared" si="1729"/>
        <v>9656000</v>
      </c>
      <c r="BL63" s="43"/>
      <c r="BM63" s="40">
        <f t="shared" ref="BM63:BT63" si="1730">SUM(BM56,BM54,BM52,BM47,BM38,BM31,BM17,BM58,BM60,BM62)</f>
        <v>2951</v>
      </c>
      <c r="BN63" s="40">
        <f t="shared" si="1730"/>
        <v>141283534</v>
      </c>
      <c r="BO63" s="40">
        <f t="shared" si="1730"/>
        <v>3307</v>
      </c>
      <c r="BP63" s="40">
        <f t="shared" si="1730"/>
        <v>117776210</v>
      </c>
      <c r="BQ63" s="40">
        <f t="shared" si="1730"/>
        <v>2668</v>
      </c>
      <c r="BR63" s="40">
        <f t="shared" si="1730"/>
        <v>137603039</v>
      </c>
      <c r="BS63" s="40">
        <f t="shared" si="1730"/>
        <v>133062411</v>
      </c>
      <c r="BT63" s="40">
        <f t="shared" si="1730"/>
        <v>17018000</v>
      </c>
      <c r="BU63" s="43"/>
      <c r="BV63" s="40">
        <f t="shared" ref="BV63:CC63" si="1731">SUM(BV56,BV54,BV52,BV47,BV38,BV31,BV17,BV58,BV60,BV62)</f>
        <v>3207</v>
      </c>
      <c r="BW63" s="40">
        <f t="shared" si="1731"/>
        <v>223481000</v>
      </c>
      <c r="BX63" s="40">
        <f t="shared" si="1731"/>
        <v>2910</v>
      </c>
      <c r="BY63" s="40">
        <f t="shared" si="1731"/>
        <v>150966606</v>
      </c>
      <c r="BZ63" s="40">
        <f t="shared" si="1731"/>
        <v>2965</v>
      </c>
      <c r="CA63" s="40">
        <f t="shared" si="1731"/>
        <v>210117430</v>
      </c>
      <c r="CB63" s="40">
        <f t="shared" si="1731"/>
        <v>159520163</v>
      </c>
      <c r="CC63" s="40">
        <f t="shared" si="1731"/>
        <v>29289000</v>
      </c>
      <c r="CD63" s="43"/>
      <c r="CE63" s="40">
        <f t="shared" ref="CE63:CL63" si="1732">SUM(CE56,CE54,CE52,CE47,CE38,CE31,CE17,CE58,CE60,CE62)</f>
        <v>0</v>
      </c>
      <c r="CF63" s="40">
        <f t="shared" si="1732"/>
        <v>0</v>
      </c>
      <c r="CG63" s="40">
        <f t="shared" si="1732"/>
        <v>0</v>
      </c>
      <c r="CH63" s="40">
        <f t="shared" si="1732"/>
        <v>0</v>
      </c>
      <c r="CI63" s="40">
        <f t="shared" si="1732"/>
        <v>0</v>
      </c>
      <c r="CJ63" s="40">
        <f t="shared" si="1732"/>
        <v>381564000</v>
      </c>
      <c r="CK63" s="40">
        <f t="shared" si="1732"/>
        <v>0</v>
      </c>
      <c r="CL63" s="40">
        <f t="shared" si="1732"/>
        <v>0</v>
      </c>
      <c r="CM63" s="43"/>
      <c r="CN63" s="40">
        <f t="shared" ref="CN63:CU63" si="1733">SUM(CN56,CN54,CN52,CN47,CN38,CN31,CN17,CN58,CN60,CN62)</f>
        <v>0</v>
      </c>
      <c r="CO63" s="40">
        <f t="shared" si="1733"/>
        <v>0</v>
      </c>
      <c r="CP63" s="40">
        <f t="shared" si="1733"/>
        <v>0</v>
      </c>
      <c r="CQ63" s="40">
        <f t="shared" si="1733"/>
        <v>0</v>
      </c>
      <c r="CR63" s="40">
        <f t="shared" si="1733"/>
        <v>0</v>
      </c>
      <c r="CS63" s="40">
        <f t="shared" si="1733"/>
        <v>462114000</v>
      </c>
      <c r="CT63" s="40">
        <f t="shared" si="1733"/>
        <v>0</v>
      </c>
      <c r="CU63" s="40">
        <f t="shared" si="1733"/>
        <v>0</v>
      </c>
      <c r="CV63" s="43"/>
      <c r="CW63" s="40">
        <f t="shared" ref="CW63:DD63" si="1734">SUM(CW56,CW54,CW52,CW47,CW38,CW31,CW17,CW58,CW60,CW62)</f>
        <v>0</v>
      </c>
      <c r="CX63" s="40">
        <f t="shared" si="1734"/>
        <v>0</v>
      </c>
      <c r="CY63" s="40">
        <f t="shared" si="1734"/>
        <v>0</v>
      </c>
      <c r="CZ63" s="40">
        <f t="shared" si="1734"/>
        <v>0</v>
      </c>
      <c r="DA63" s="40">
        <f t="shared" si="1734"/>
        <v>0</v>
      </c>
      <c r="DB63" s="40">
        <f t="shared" si="1734"/>
        <v>605318000</v>
      </c>
      <c r="DC63" s="40">
        <f t="shared" si="1734"/>
        <v>0</v>
      </c>
      <c r="DD63" s="40">
        <f t="shared" si="1734"/>
        <v>0</v>
      </c>
      <c r="DE63" s="41"/>
      <c r="DF63" s="40">
        <f t="shared" ref="DF63:DM63" si="1735">SUM(DF56,DF54,DF52,DF47,DF38,DF31,DF17,DF58,DF60,DF62)</f>
        <v>3526</v>
      </c>
      <c r="DG63" s="40">
        <f t="shared" si="1735"/>
        <v>378837000</v>
      </c>
      <c r="DH63" s="40">
        <f t="shared" si="1735"/>
        <v>382</v>
      </c>
      <c r="DI63" s="40">
        <f t="shared" si="1735"/>
        <v>374344000</v>
      </c>
      <c r="DJ63" s="40">
        <f t="shared" si="1735"/>
        <v>3898</v>
      </c>
      <c r="DK63" s="40">
        <f t="shared" si="1735"/>
        <v>610811000</v>
      </c>
      <c r="DL63" s="40">
        <f t="shared" si="1735"/>
        <v>608563000</v>
      </c>
      <c r="DM63" s="40">
        <f t="shared" si="1735"/>
        <v>92437000</v>
      </c>
      <c r="DN63" s="41">
        <f>DM63/DL63</f>
        <v>0.15189388773224793</v>
      </c>
      <c r="DO63" s="40">
        <f t="shared" ref="DO63:DV63" si="1736">SUM(DO56,DO54,DO52,DO47,DO38,DO31,DO17,DO58,DO60,DO62)</f>
        <v>3653</v>
      </c>
      <c r="DP63" s="40">
        <f t="shared" si="1736"/>
        <v>391950382</v>
      </c>
      <c r="DQ63" s="40">
        <f t="shared" si="1736"/>
        <v>3396</v>
      </c>
      <c r="DR63" s="40">
        <f t="shared" si="1736"/>
        <v>454194041</v>
      </c>
      <c r="DS63" s="40">
        <f t="shared" si="1736"/>
        <v>3989</v>
      </c>
      <c r="DT63" s="40">
        <f t="shared" si="1736"/>
        <v>548117784</v>
      </c>
      <c r="DU63" s="40">
        <f t="shared" si="1736"/>
        <v>538861341</v>
      </c>
      <c r="DV63" s="40">
        <f t="shared" si="1736"/>
        <v>82940653</v>
      </c>
      <c r="DW63" s="41">
        <f>DV63/DU63</f>
        <v>0.15391835837783732</v>
      </c>
      <c r="DX63" s="40">
        <f t="shared" ref="DX63:EE63" si="1737">SUM(DX56,DX54,DX52,DX47,DX38,DX31,DX17,DX58,DX60,DX62)</f>
        <v>6951</v>
      </c>
      <c r="DY63" s="40">
        <f t="shared" si="1737"/>
        <v>939810499</v>
      </c>
      <c r="DZ63" s="40">
        <f t="shared" si="1737"/>
        <v>6264</v>
      </c>
      <c r="EA63" s="40">
        <f t="shared" si="1737"/>
        <v>510666542</v>
      </c>
      <c r="EB63" s="40">
        <f t="shared" si="1737"/>
        <v>4887</v>
      </c>
      <c r="EC63" s="40">
        <f t="shared" si="1737"/>
        <v>977261801</v>
      </c>
      <c r="ED63" s="40">
        <f t="shared" si="1737"/>
        <v>911964296</v>
      </c>
      <c r="EE63" s="40">
        <f t="shared" si="1737"/>
        <v>95209917</v>
      </c>
      <c r="EF63" s="41">
        <f>EE63/ED63</f>
        <v>0.10440092602046341</v>
      </c>
      <c r="EG63" s="40">
        <f t="shared" ref="EG63:EN63" si="1738">SUM(EG56,EG54,EG52,EG47,EG38,EG31,EG17,EG58,EG60,EG62)</f>
        <v>5367</v>
      </c>
      <c r="EH63" s="40">
        <f t="shared" si="1738"/>
        <v>844576712</v>
      </c>
      <c r="EI63" s="40">
        <f t="shared" si="1738"/>
        <v>5828</v>
      </c>
      <c r="EJ63" s="40">
        <f t="shared" si="1738"/>
        <v>673763220</v>
      </c>
      <c r="EK63" s="40">
        <f t="shared" si="1738"/>
        <v>4426</v>
      </c>
      <c r="EL63" s="40">
        <f t="shared" si="1738"/>
        <v>1148075293</v>
      </c>
      <c r="EM63" s="40">
        <f t="shared" si="1738"/>
        <v>1011677171</v>
      </c>
      <c r="EN63" s="40">
        <f t="shared" si="1738"/>
        <v>121576348</v>
      </c>
      <c r="EO63" s="41">
        <f>EN63/EM63</f>
        <v>0.12017306655227471</v>
      </c>
      <c r="EP63" s="40">
        <f t="shared" ref="EP63:EW63" si="1739">SUM(EP56,EP54,EP52,EP47,EP38,EP31,EP17,EP58,EP60,EP62)</f>
        <v>5968</v>
      </c>
      <c r="EQ63" s="40">
        <f t="shared" si="1739"/>
        <v>910637379</v>
      </c>
      <c r="ER63" s="40">
        <f t="shared" si="1739"/>
        <v>5522</v>
      </c>
      <c r="ES63" s="40">
        <f t="shared" si="1739"/>
        <v>722026607</v>
      </c>
      <c r="ET63" s="40">
        <f t="shared" si="1739"/>
        <v>4899</v>
      </c>
      <c r="EU63" s="40">
        <f t="shared" si="1739"/>
        <v>1336722065</v>
      </c>
      <c r="EV63" s="40">
        <f t="shared" si="1739"/>
        <v>1240361392</v>
      </c>
      <c r="EW63" s="40">
        <f t="shared" si="1739"/>
        <v>140836504</v>
      </c>
      <c r="EX63" s="41">
        <f>EW63/EV63</f>
        <v>0.11354473374321215</v>
      </c>
      <c r="EY63" s="40">
        <f t="shared" ref="EY63:FF63" si="1740">SUM(EY56,EY54,EY52,EY47,EY38,EY31,EY17,EY58,EY60,EY62)</f>
        <v>5001</v>
      </c>
      <c r="EZ63" s="40">
        <f t="shared" si="1740"/>
        <v>1152062785</v>
      </c>
      <c r="FA63" s="40">
        <f t="shared" si="1740"/>
        <v>5514</v>
      </c>
      <c r="FB63" s="40">
        <f t="shared" si="1740"/>
        <v>914119114</v>
      </c>
      <c r="FC63" s="40">
        <f t="shared" si="1740"/>
        <v>4386</v>
      </c>
      <c r="FD63" s="40">
        <f t="shared" si="1740"/>
        <v>1574665736</v>
      </c>
      <c r="FE63" s="40">
        <f t="shared" si="1740"/>
        <v>1437566043</v>
      </c>
      <c r="FF63" s="40">
        <f t="shared" si="1740"/>
        <v>176447741</v>
      </c>
      <c r="FG63" s="41">
        <f>FF63/FE63</f>
        <v>0.12274061554193236</v>
      </c>
      <c r="FH63" s="40">
        <f t="shared" ref="FH63:FO63" si="1741">SUM(FH56,FH54,FH52,FH47,FH38,FH31,FH17,FH58,FH60,FH62)</f>
        <v>5209</v>
      </c>
      <c r="FI63" s="40">
        <f t="shared" si="1741"/>
        <v>1174217244</v>
      </c>
      <c r="FJ63" s="40">
        <f t="shared" si="1741"/>
        <v>4806</v>
      </c>
      <c r="FK63" s="40">
        <f t="shared" si="1741"/>
        <v>858563085</v>
      </c>
      <c r="FL63" s="40">
        <f t="shared" si="1741"/>
        <v>4789</v>
      </c>
      <c r="FM63" s="40">
        <f t="shared" si="1741"/>
        <v>1909467695</v>
      </c>
      <c r="FN63" s="40">
        <f t="shared" si="1741"/>
        <v>1714966987</v>
      </c>
      <c r="FO63" s="40">
        <f t="shared" si="1741"/>
        <v>189101029</v>
      </c>
      <c r="FP63" s="41">
        <f>FO63/FN63</f>
        <v>0.11026511322576264</v>
      </c>
      <c r="FQ63" s="40">
        <f t="shared" ref="FQ63:FX63" si="1742">SUM(FQ56,FQ54,FQ52,FQ47,FQ38,FQ31,FQ17,FQ58,FQ60,FQ62)</f>
        <v>4982</v>
      </c>
      <c r="FR63" s="40">
        <f t="shared" si="1742"/>
        <v>1468917904</v>
      </c>
      <c r="FS63" s="40">
        <f t="shared" si="1742"/>
        <v>5231</v>
      </c>
      <c r="FT63" s="40">
        <f t="shared" si="1742"/>
        <v>1144524692</v>
      </c>
      <c r="FU63" s="40">
        <f t="shared" si="1742"/>
        <v>4540</v>
      </c>
      <c r="FV63" s="40">
        <f t="shared" si="1742"/>
        <v>2233860907</v>
      </c>
      <c r="FW63" s="40">
        <f t="shared" si="1742"/>
        <v>2077688713</v>
      </c>
      <c r="FX63" s="40">
        <f t="shared" si="1742"/>
        <v>228477533</v>
      </c>
      <c r="FY63" s="41">
        <f>FX63/FW63</f>
        <v>0.10996716282397208</v>
      </c>
      <c r="FZ63" s="40">
        <f t="shared" ref="FZ63:GG63" si="1743">SUM(FZ56,FZ54,FZ52,FZ47,FZ38,FZ31,FZ17,FZ58,FZ60,FZ62)</f>
        <v>4654</v>
      </c>
      <c r="GA63" s="40">
        <f t="shared" si="1743"/>
        <v>1568370895</v>
      </c>
      <c r="GB63" s="40">
        <f t="shared" si="1743"/>
        <v>4093</v>
      </c>
      <c r="GC63" s="40">
        <f t="shared" si="1743"/>
        <v>1237603714</v>
      </c>
      <c r="GD63" s="40">
        <f t="shared" si="1743"/>
        <v>5101</v>
      </c>
      <c r="GE63" s="40">
        <f t="shared" si="1743"/>
        <v>2564628088</v>
      </c>
      <c r="GF63" s="40">
        <f t="shared" si="1743"/>
        <v>2336117093</v>
      </c>
      <c r="GG63" s="40">
        <f t="shared" si="1743"/>
        <v>268377944</v>
      </c>
      <c r="GH63" s="41">
        <f>GG63/GF63</f>
        <v>0.11488205998071518</v>
      </c>
      <c r="GI63" s="40">
        <f t="shared" ref="GI63:GP63" si="1744">SUM(GI56,GI54,GI52,GI47,GI38,GI31,GI17,GI58,GI60,GI62)</f>
        <v>4456</v>
      </c>
      <c r="GJ63" s="40">
        <f t="shared" si="1744"/>
        <v>1685406692</v>
      </c>
      <c r="GK63" s="40">
        <f t="shared" si="1744"/>
        <v>5040</v>
      </c>
      <c r="GL63" s="40">
        <f t="shared" si="1744"/>
        <v>1317313998</v>
      </c>
      <c r="GM63" s="40">
        <f t="shared" si="1744"/>
        <v>4517</v>
      </c>
      <c r="GN63" s="40">
        <f t="shared" si="1744"/>
        <v>2932720782</v>
      </c>
      <c r="GO63" s="40">
        <f t="shared" si="1744"/>
        <v>2638603466</v>
      </c>
      <c r="GP63" s="40">
        <f t="shared" si="1744"/>
        <v>306473895</v>
      </c>
      <c r="GQ63" s="41">
        <f>GP63/GO63</f>
        <v>0.11615003881754167</v>
      </c>
      <c r="GR63" s="40">
        <f t="shared" ref="GR63:GY63" si="1745">SUM(GR56,GR54,GR52,GR47,GR38,GR31,GR17,GR58,GR60,GR62)</f>
        <v>3655</v>
      </c>
      <c r="GS63" s="40">
        <f t="shared" si="1745"/>
        <v>1740071385</v>
      </c>
      <c r="GT63" s="40">
        <f t="shared" si="1745"/>
        <v>4203</v>
      </c>
      <c r="GU63" s="40">
        <f t="shared" si="1745"/>
        <v>1612461343</v>
      </c>
      <c r="GV63" s="40">
        <f t="shared" si="1745"/>
        <v>3969</v>
      </c>
      <c r="GW63" s="40">
        <f t="shared" si="1745"/>
        <v>3060330824</v>
      </c>
      <c r="GX63" s="40">
        <f t="shared" si="1745"/>
        <v>2965719112</v>
      </c>
      <c r="GY63" s="40">
        <f t="shared" si="1745"/>
        <v>342012419</v>
      </c>
      <c r="GZ63" s="41">
        <f>GY63/GX63</f>
        <v>0.11532191892891575</v>
      </c>
      <c r="HA63" s="40">
        <f t="shared" ref="HA63:HH63" si="1746">SUM(HA56,HA54,HA52,HA47,HA38,HA31,HA17,HA58,HA60,HA62)</f>
        <v>1835</v>
      </c>
      <c r="HB63" s="40">
        <f t="shared" si="1746"/>
        <v>2030239846</v>
      </c>
      <c r="HC63" s="40">
        <f t="shared" si="1746"/>
        <v>3437</v>
      </c>
      <c r="HD63" s="40">
        <f t="shared" si="1746"/>
        <v>1508988454</v>
      </c>
      <c r="HE63" s="40">
        <f t="shared" si="1746"/>
        <v>2367</v>
      </c>
      <c r="HF63" s="40">
        <f t="shared" si="1746"/>
        <v>3581582216</v>
      </c>
      <c r="HG63" s="40">
        <f t="shared" si="1746"/>
        <v>3241780052</v>
      </c>
      <c r="HH63" s="40">
        <f t="shared" si="1746"/>
        <v>350227554</v>
      </c>
      <c r="HI63" s="41">
        <f>HH63/HG63</f>
        <v>0.10803556946558693</v>
      </c>
      <c r="HJ63" s="40">
        <f t="shared" ref="HJ63:HQ63" si="1747">SUM(HJ56,HJ54,HJ52,HJ47,HJ38,HJ31,HJ17,HJ58,HJ60,HJ62)</f>
        <v>1648</v>
      </c>
      <c r="HK63" s="40">
        <f t="shared" si="1747"/>
        <v>1894548868</v>
      </c>
      <c r="HL63" s="40">
        <f t="shared" si="1747"/>
        <v>1480</v>
      </c>
      <c r="HM63" s="40">
        <f t="shared" si="1747"/>
        <v>1472208755</v>
      </c>
      <c r="HN63" s="40">
        <f t="shared" si="1747"/>
        <v>2535</v>
      </c>
      <c r="HO63" s="40">
        <f t="shared" si="1747"/>
        <v>4003922329</v>
      </c>
      <c r="HP63" s="40">
        <f t="shared" si="1747"/>
        <v>3811334600</v>
      </c>
      <c r="HQ63" s="40">
        <f t="shared" si="1747"/>
        <v>411083942</v>
      </c>
      <c r="HR63" s="41">
        <f>HQ63/HP63</f>
        <v>0.10785826623566454</v>
      </c>
      <c r="HS63" s="40">
        <f t="shared" ref="HS63:HZ63" si="1748">SUM(HS56,HS54,HS52,HS47,HS38,HS31,HS17,HS58,HS60,HS62)</f>
        <v>1355</v>
      </c>
      <c r="HT63" s="40">
        <f t="shared" si="1748"/>
        <v>1598050707</v>
      </c>
      <c r="HU63" s="40">
        <f t="shared" si="1748"/>
        <v>1323</v>
      </c>
      <c r="HV63" s="40">
        <f t="shared" si="1748"/>
        <v>1499730898</v>
      </c>
      <c r="HW63" s="40">
        <f t="shared" si="1748"/>
        <v>2569</v>
      </c>
      <c r="HX63" s="40">
        <f t="shared" si="1748"/>
        <v>4102242138</v>
      </c>
      <c r="HY63" s="40">
        <f t="shared" si="1748"/>
        <v>4101011457</v>
      </c>
      <c r="HZ63" s="40">
        <f t="shared" si="1748"/>
        <v>434605769</v>
      </c>
      <c r="IA63" s="41">
        <f>HZ63/HY63</f>
        <v>0.10597526331173085</v>
      </c>
      <c r="IB63" s="40">
        <f t="shared" ref="IB63:II63" si="1749">SUM(IB56,IB54,IB52,IB47,IB38,IB31,IB17,IB58,IB60,IB62)</f>
        <v>1252</v>
      </c>
      <c r="IC63" s="40">
        <f t="shared" si="1749"/>
        <v>2185619224</v>
      </c>
      <c r="ID63" s="40">
        <f t="shared" si="1749"/>
        <v>1115</v>
      </c>
      <c r="IE63" s="40">
        <f t="shared" si="1749"/>
        <v>1701886032</v>
      </c>
      <c r="IF63" s="40">
        <f t="shared" si="1749"/>
        <v>2706</v>
      </c>
      <c r="IG63" s="40">
        <f t="shared" si="1749"/>
        <v>4585975330</v>
      </c>
      <c r="IH63" s="40">
        <f t="shared" si="1749"/>
        <v>4356686965</v>
      </c>
      <c r="II63" s="40">
        <f t="shared" si="1749"/>
        <v>446582540</v>
      </c>
      <c r="IJ63" s="41">
        <f>II63/IH63</f>
        <v>0.10250507864982675</v>
      </c>
      <c r="IK63" s="40">
        <f t="shared" ref="IK63:IR63" si="1750">SUM(IK56,IK54,IK52,IK47,IK38,IK31,IK17,IK58,IK60,IK62)</f>
        <v>1414</v>
      </c>
      <c r="IL63" s="40">
        <f t="shared" si="1750"/>
        <v>2587056542</v>
      </c>
      <c r="IM63" s="40">
        <f t="shared" si="1750"/>
        <v>991</v>
      </c>
      <c r="IN63" s="40">
        <f t="shared" si="1750"/>
        <v>1754390246</v>
      </c>
      <c r="IO63" s="40">
        <f t="shared" si="1750"/>
        <v>3124</v>
      </c>
      <c r="IP63" s="40">
        <f t="shared" si="1750"/>
        <v>5415534204</v>
      </c>
      <c r="IQ63" s="40">
        <f t="shared" si="1750"/>
        <v>4990643820</v>
      </c>
      <c r="IR63" s="40">
        <f t="shared" si="1750"/>
        <v>499996248</v>
      </c>
      <c r="IS63" s="41">
        <f>IR63/IQ63</f>
        <v>0.10018672260205498</v>
      </c>
      <c r="IT63" s="40">
        <f t="shared" ref="IT63:JA63" si="1751">SUM(IT56,IT54,IT52,IT47,IT38,IT31,IT17,IT58,IT60,IT62)</f>
        <v>1166</v>
      </c>
      <c r="IU63" s="40">
        <f t="shared" si="1751"/>
        <v>2781119659</v>
      </c>
      <c r="IV63" s="40">
        <f t="shared" si="1751"/>
        <v>813</v>
      </c>
      <c r="IW63" s="40">
        <f t="shared" si="1751"/>
        <v>2137520762</v>
      </c>
      <c r="IX63" s="40">
        <f t="shared" si="1751"/>
        <v>3477</v>
      </c>
      <c r="IY63" s="40">
        <f t="shared" si="1751"/>
        <v>6058496101</v>
      </c>
      <c r="IZ63" s="40">
        <f t="shared" si="1751"/>
        <v>5711823000</v>
      </c>
      <c r="JA63" s="40">
        <f t="shared" si="1751"/>
        <v>563778886</v>
      </c>
      <c r="JB63" s="41">
        <f>JA63/IZ63</f>
        <v>9.8703843939141667E-2</v>
      </c>
      <c r="JC63" s="40">
        <f t="shared" ref="JC63:JJ63" si="1752">SUM(JC56,JC54,JC52,JC47,JC38,JC31,JC17,JC58,JC60,JC62)</f>
        <v>1256</v>
      </c>
      <c r="JD63" s="40">
        <f t="shared" si="1752"/>
        <v>3188676260</v>
      </c>
      <c r="JE63" s="40">
        <f t="shared" si="1752"/>
        <v>877</v>
      </c>
      <c r="JF63" s="40">
        <f t="shared" si="1752"/>
        <v>2321704282</v>
      </c>
      <c r="JG63" s="40">
        <f t="shared" si="1752"/>
        <v>3856</v>
      </c>
      <c r="JH63" s="40">
        <f t="shared" si="1752"/>
        <v>6925468079</v>
      </c>
      <c r="JI63" s="40">
        <f t="shared" si="1752"/>
        <v>6501485328</v>
      </c>
      <c r="JJ63" s="40">
        <f t="shared" si="1752"/>
        <v>626451254</v>
      </c>
      <c r="JK63" s="41">
        <f>JJ63/JI63</f>
        <v>9.6355097703913484E-2</v>
      </c>
      <c r="JL63" s="40">
        <f t="shared" ref="JL63:JS63" si="1753">SUM(JL56,JL54,JL52,JL47,JL38,JL31,JL17,JL58,JL60,JL62)</f>
        <v>1258</v>
      </c>
      <c r="JM63" s="40">
        <f t="shared" si="1753"/>
        <v>3104854114</v>
      </c>
      <c r="JN63" s="40">
        <f t="shared" si="1753"/>
        <v>851</v>
      </c>
      <c r="JO63" s="40">
        <f t="shared" si="1753"/>
        <v>2464119883</v>
      </c>
      <c r="JP63" s="40">
        <f t="shared" si="1753"/>
        <v>4263</v>
      </c>
      <c r="JQ63" s="40">
        <f t="shared" si="1753"/>
        <v>7566205310</v>
      </c>
      <c r="JR63" s="40">
        <f t="shared" si="1753"/>
        <v>7311911650</v>
      </c>
      <c r="JS63" s="40">
        <f t="shared" si="1753"/>
        <v>681815932</v>
      </c>
      <c r="JT63" s="41">
        <f>JS63/JR63</f>
        <v>9.3247288074111229E-2</v>
      </c>
      <c r="JU63" s="40">
        <f t="shared" ref="JU63:KB63" si="1754">SUM(JU56,JU54,JU52,JU47,JU38,JU31,JU17,JU58,JU60,JU62)</f>
        <v>1293</v>
      </c>
      <c r="JV63" s="40">
        <f t="shared" si="1754"/>
        <v>2937431321</v>
      </c>
      <c r="JW63" s="40">
        <f t="shared" si="1754"/>
        <v>952</v>
      </c>
      <c r="JX63" s="40">
        <f t="shared" si="1754"/>
        <v>2533160789</v>
      </c>
      <c r="JY63" s="40">
        <f t="shared" si="1754"/>
        <v>4604</v>
      </c>
      <c r="JZ63" s="40">
        <f t="shared" si="1754"/>
        <v>7970472842</v>
      </c>
      <c r="KA63" s="40">
        <f t="shared" si="1754"/>
        <v>7737210425</v>
      </c>
      <c r="KB63" s="40">
        <f t="shared" si="1754"/>
        <v>727675828</v>
      </c>
      <c r="KC63" s="41">
        <f>KB63/KA63</f>
        <v>9.4048861027325625E-2</v>
      </c>
      <c r="KD63" s="40">
        <f t="shared" ref="KD63:KK63" si="1755">SUM(KD56,KD54,KD52,KD47,KD38,KD31,KD17,KD58,KD60,KD62)</f>
        <v>1115</v>
      </c>
      <c r="KE63" s="40">
        <f t="shared" si="1755"/>
        <v>2530354359</v>
      </c>
      <c r="KF63" s="40">
        <f t="shared" si="1755"/>
        <v>1027</v>
      </c>
      <c r="KG63" s="40">
        <f t="shared" si="1755"/>
        <v>2661590118</v>
      </c>
      <c r="KH63" s="40">
        <f t="shared" si="1755"/>
        <v>4692</v>
      </c>
      <c r="KI63" s="40">
        <f t="shared" si="1755"/>
        <v>7839237083</v>
      </c>
      <c r="KJ63" s="40">
        <f t="shared" si="1755"/>
        <v>7954597503</v>
      </c>
      <c r="KK63" s="40">
        <f t="shared" si="1755"/>
        <v>747753477</v>
      </c>
      <c r="KL63" s="41">
        <f>KK63/KJ63</f>
        <v>9.4002679169875272E-2</v>
      </c>
      <c r="KM63" s="40">
        <f t="shared" ref="KM63:KT63" si="1756">SUM(KM56,KM54,KM52,KM47,KM38,KM31,KM17,KM58,KM60,KM62)</f>
        <v>1058</v>
      </c>
      <c r="KN63" s="40">
        <f t="shared" si="1756"/>
        <v>2081610000</v>
      </c>
      <c r="KO63" s="40">
        <f t="shared" si="1756"/>
        <v>1033</v>
      </c>
      <c r="KP63" s="40">
        <f t="shared" si="1756"/>
        <v>2454872437</v>
      </c>
      <c r="KQ63" s="40">
        <f t="shared" si="1756"/>
        <v>4717</v>
      </c>
      <c r="KR63" s="40">
        <f t="shared" si="1756"/>
        <v>7465974646</v>
      </c>
      <c r="KS63" s="40">
        <f t="shared" si="1756"/>
        <v>7653290695</v>
      </c>
      <c r="KT63" s="40">
        <f t="shared" si="1756"/>
        <v>723775223</v>
      </c>
      <c r="KU63" s="41">
        <f>KT63/KS63</f>
        <v>9.4570460190784633E-2</v>
      </c>
      <c r="KV63" s="40">
        <f t="shared" ref="KV63:LC63" si="1757">SUM(KV56,KV54,KV52,KV47,KV38,KV31,KV17,KV58,KV60,KV62)</f>
        <v>1178</v>
      </c>
      <c r="KW63" s="40">
        <f t="shared" si="1757"/>
        <v>2045613000</v>
      </c>
      <c r="KX63" s="40">
        <f t="shared" si="1757"/>
        <v>1166</v>
      </c>
      <c r="KY63" s="40">
        <f t="shared" si="1757"/>
        <v>2396079622</v>
      </c>
      <c r="KZ63" s="40">
        <f t="shared" si="1757"/>
        <v>4729</v>
      </c>
      <c r="LA63" s="40">
        <f t="shared" si="1757"/>
        <v>7115508024</v>
      </c>
      <c r="LB63" s="40">
        <f t="shared" si="1757"/>
        <v>7263210812</v>
      </c>
      <c r="LC63" s="40">
        <f t="shared" si="1757"/>
        <v>664833655</v>
      </c>
      <c r="LD63" s="41">
        <f>LC63/LB63</f>
        <v>9.1534401548911015E-2</v>
      </c>
      <c r="LE63" s="40">
        <f t="shared" ref="LE63:LL63" si="1758">SUM(LE56,LE54,LE52,LE47,LE38,LE31,LE17,LE58,LE60,LE62)</f>
        <v>875</v>
      </c>
      <c r="LF63" s="40">
        <f t="shared" si="1758"/>
        <v>1218685479</v>
      </c>
      <c r="LG63" s="40">
        <f t="shared" si="1758"/>
        <v>1017</v>
      </c>
      <c r="LH63" s="40">
        <f t="shared" si="1758"/>
        <v>2166245102</v>
      </c>
      <c r="LI63" s="40">
        <f t="shared" si="1758"/>
        <v>4587</v>
      </c>
      <c r="LJ63" s="40">
        <f t="shared" si="1758"/>
        <v>6167948401</v>
      </c>
      <c r="LK63" s="40">
        <f t="shared" si="1758"/>
        <v>6623012641</v>
      </c>
      <c r="LL63" s="40">
        <f t="shared" si="1758"/>
        <v>602570835</v>
      </c>
      <c r="LM63" s="41">
        <f>LL63/LK63</f>
        <v>9.0981380779762283E-2</v>
      </c>
      <c r="LN63" s="40">
        <f t="shared" ref="LN63:LU63" si="1759">SUM(LN56,LN54,LN52,LN47,LN38,LN31,LN17,LN58,LN60,LN62)</f>
        <v>985</v>
      </c>
      <c r="LO63" s="40">
        <f t="shared" si="1759"/>
        <v>1258571171</v>
      </c>
      <c r="LP63" s="40">
        <f t="shared" si="1759"/>
        <v>1236</v>
      </c>
      <c r="LQ63" s="40">
        <f t="shared" si="1759"/>
        <v>2023011967</v>
      </c>
      <c r="LR63" s="40">
        <f t="shared" si="1759"/>
        <v>4336</v>
      </c>
      <c r="LS63" s="40">
        <f t="shared" si="1759"/>
        <v>5403507605</v>
      </c>
      <c r="LT63" s="40">
        <f t="shared" si="1759"/>
        <v>5746963593</v>
      </c>
      <c r="LU63" s="40">
        <f t="shared" si="1759"/>
        <v>525075899</v>
      </c>
      <c r="LV63" s="41">
        <f>LU63/LT63</f>
        <v>9.1365795259180094E-2</v>
      </c>
      <c r="LW63" s="40">
        <f t="shared" ref="LW63:MD63" si="1760">SUM(LW56,LW54,LW52,LW47,LW38,LW31,LW17,LW58,LW60,LW62)</f>
        <v>1150</v>
      </c>
      <c r="LX63" s="40">
        <f t="shared" si="1760"/>
        <v>1350180416</v>
      </c>
      <c r="LY63" s="40">
        <f t="shared" si="1760"/>
        <v>1185</v>
      </c>
      <c r="LZ63" s="40">
        <f t="shared" si="1760"/>
        <v>1733662394</v>
      </c>
      <c r="MA63" s="40">
        <f t="shared" si="1760"/>
        <v>4301</v>
      </c>
      <c r="MB63" s="40">
        <f t="shared" si="1760"/>
        <v>5020025627</v>
      </c>
      <c r="MC63" s="40">
        <f t="shared" si="1760"/>
        <v>5215851233</v>
      </c>
      <c r="MD63" s="40">
        <f t="shared" si="1760"/>
        <v>442034974</v>
      </c>
      <c r="ME63" s="41">
        <f>MD63/MC63</f>
        <v>8.4748386074223761E-2</v>
      </c>
      <c r="MF63" s="40">
        <f t="shared" ref="MF63:MM63" si="1761">SUM(MF56,MF54,MF52,MF47,MF38,MF31,MF17,MF58,MF60,MF62)</f>
        <v>1166</v>
      </c>
      <c r="MG63" s="40">
        <f t="shared" si="1761"/>
        <v>1237490000</v>
      </c>
      <c r="MH63" s="40">
        <f t="shared" si="1761"/>
        <v>1183</v>
      </c>
      <c r="MI63" s="40">
        <f t="shared" si="1761"/>
        <v>1619164801</v>
      </c>
      <c r="MJ63" s="40">
        <f t="shared" si="1761"/>
        <v>4284</v>
      </c>
      <c r="MK63" s="40">
        <f t="shared" si="1761"/>
        <v>4638350826</v>
      </c>
      <c r="ML63" s="40">
        <f t="shared" si="1761"/>
        <v>4695912426</v>
      </c>
      <c r="MM63" s="40">
        <f t="shared" si="1761"/>
        <v>411951664</v>
      </c>
      <c r="MN63" s="41">
        <f>MM63/ML63</f>
        <v>8.7725584855274305E-2</v>
      </c>
      <c r="MO63" s="40">
        <f t="shared" ref="MO63:MV63" si="1762">SUM(MO56,MO54,MO52,MO47,MO38,MO31,MO17,MO58,MO60,MO62)</f>
        <v>883</v>
      </c>
      <c r="MP63" s="40">
        <f t="shared" si="1762"/>
        <v>910602992</v>
      </c>
      <c r="MQ63" s="40">
        <f t="shared" si="1762"/>
        <v>1118</v>
      </c>
      <c r="MR63" s="40">
        <f t="shared" si="1762"/>
        <v>1382172573</v>
      </c>
      <c r="MS63" s="40">
        <f t="shared" si="1762"/>
        <v>4049</v>
      </c>
      <c r="MT63" s="40">
        <f t="shared" si="1762"/>
        <v>4166781245</v>
      </c>
      <c r="MU63" s="40">
        <f t="shared" si="1762"/>
        <v>4341317382</v>
      </c>
      <c r="MV63" s="40">
        <f t="shared" si="1762"/>
        <v>384244630</v>
      </c>
      <c r="MW63" s="41">
        <f>MV63/MU63</f>
        <v>8.8508762707181401E-2</v>
      </c>
      <c r="MX63" s="40">
        <f t="shared" ref="MX63:NE63" si="1763">SUM(MX56,MX54,MX52,MX47,MX38,MX31,MX17,MX58,MX60,MX62)</f>
        <v>647</v>
      </c>
      <c r="MY63" s="40">
        <f t="shared" si="1763"/>
        <v>654310000</v>
      </c>
      <c r="MZ63" s="40">
        <f t="shared" si="1763"/>
        <v>1078</v>
      </c>
      <c r="NA63" s="40">
        <f t="shared" si="1763"/>
        <v>1219637411</v>
      </c>
      <c r="NB63" s="40">
        <f t="shared" si="1763"/>
        <v>3618</v>
      </c>
      <c r="NC63" s="40">
        <f t="shared" si="1763"/>
        <v>3601453834</v>
      </c>
      <c r="ND63" s="40">
        <f t="shared" si="1763"/>
        <v>3724032240</v>
      </c>
      <c r="NE63" s="40">
        <f t="shared" si="1763"/>
        <v>329827517</v>
      </c>
      <c r="NF63" s="41">
        <f>NE63/ND63</f>
        <v>8.85673097717328E-2</v>
      </c>
      <c r="NG63" s="40">
        <f t="shared" ref="NG63:NN63" si="1764">SUM(NG56,NG54,NG52,NG47,NG38,NG31,NG17,NG58,NG60,NG62)</f>
        <v>708</v>
      </c>
      <c r="NH63" s="40">
        <f t="shared" si="1764"/>
        <v>752660000</v>
      </c>
      <c r="NI63" s="40">
        <f t="shared" si="1764"/>
        <v>976</v>
      </c>
      <c r="NJ63" s="40">
        <f t="shared" si="1764"/>
        <v>1101567867</v>
      </c>
      <c r="NK63" s="40">
        <f t="shared" si="1764"/>
        <v>3350</v>
      </c>
      <c r="NL63" s="40">
        <f t="shared" si="1764"/>
        <v>3252545967</v>
      </c>
      <c r="NM63" s="40">
        <f t="shared" si="1764"/>
        <v>3365361417</v>
      </c>
      <c r="NN63" s="40">
        <f t="shared" si="1764"/>
        <v>297780141</v>
      </c>
      <c r="NO63" s="41">
        <f>NN63/NM63</f>
        <v>8.8483851837064073E-2</v>
      </c>
      <c r="NP63" s="40">
        <f t="shared" ref="NP63:NW63" si="1765">SUM(NP56,NP54,NP52,NP47,NP38,NP31,NP17,NP58,NP60,NP62)</f>
        <v>606</v>
      </c>
      <c r="NQ63" s="40">
        <f t="shared" si="1765"/>
        <v>639510000</v>
      </c>
      <c r="NR63" s="40">
        <f t="shared" si="1765"/>
        <v>849</v>
      </c>
      <c r="NS63" s="40">
        <f t="shared" si="1765"/>
        <v>974093264</v>
      </c>
      <c r="NT63" s="40">
        <f t="shared" si="1765"/>
        <v>3107</v>
      </c>
      <c r="NU63" s="40">
        <f t="shared" si="1765"/>
        <v>2917962703</v>
      </c>
      <c r="NV63" s="40">
        <f t="shared" si="1765"/>
        <v>3019177000</v>
      </c>
      <c r="NW63" s="40">
        <f t="shared" si="1765"/>
        <v>258400263</v>
      </c>
      <c r="NX63" s="41">
        <f>NW63/NV63</f>
        <v>8.5586324683845957E-2</v>
      </c>
      <c r="NY63" s="40">
        <f t="shared" ref="NY63:OF63" si="1766">SUM(NY56,NY54,NY52,NY47,NY38,NY31,NY17,NY58,NY60,NY62)</f>
        <v>493</v>
      </c>
      <c r="NZ63" s="40">
        <f t="shared" si="1766"/>
        <v>508320000</v>
      </c>
      <c r="OA63" s="40">
        <f t="shared" si="1766"/>
        <v>786</v>
      </c>
      <c r="OB63" s="40">
        <f t="shared" si="1766"/>
        <v>874022914</v>
      </c>
      <c r="OC63" s="40">
        <f t="shared" si="1766"/>
        <v>2814</v>
      </c>
      <c r="OD63" s="40">
        <f t="shared" si="1766"/>
        <v>2552259789</v>
      </c>
      <c r="OE63" s="40">
        <f t="shared" si="1766"/>
        <v>2692023615</v>
      </c>
      <c r="OF63" s="40">
        <f t="shared" si="1766"/>
        <v>226838767</v>
      </c>
      <c r="OG63" s="41">
        <f>OF63/OE63</f>
        <v>8.426329016433981E-2</v>
      </c>
      <c r="OH63" s="40">
        <f t="shared" ref="OH63:OO63" si="1767">SUM(OH56,OH54,OH52,OH47,OH38,OH31,OH17,OH58,OH60,OH62)</f>
        <v>456</v>
      </c>
      <c r="OI63" s="40">
        <f t="shared" si="1767"/>
        <v>425050000</v>
      </c>
      <c r="OJ63" s="40">
        <f t="shared" si="1767"/>
        <v>776</v>
      </c>
      <c r="OK63" s="40">
        <f t="shared" si="1767"/>
        <v>786742699</v>
      </c>
      <c r="OL63" s="40">
        <f t="shared" si="1767"/>
        <v>2494</v>
      </c>
      <c r="OM63" s="40">
        <f t="shared" si="1767"/>
        <v>2190567090</v>
      </c>
      <c r="ON63" s="40">
        <f t="shared" si="1767"/>
        <v>2340639997</v>
      </c>
      <c r="OO63" s="40">
        <f t="shared" si="1767"/>
        <v>193747976</v>
      </c>
      <c r="OP63" s="41">
        <f>OO63/ON63</f>
        <v>8.2775640956459312E-2</v>
      </c>
      <c r="OQ63" s="40">
        <f t="shared" ref="OQ63:OX63" si="1768">SUM(OQ56,OQ54,OQ52,OQ47,OQ38,OQ31,OQ17,OQ58,OQ60,OQ62)</f>
        <v>470</v>
      </c>
      <c r="OR63" s="40">
        <f t="shared" si="1768"/>
        <v>508740000</v>
      </c>
      <c r="OS63" s="40">
        <f t="shared" si="1768"/>
        <v>743</v>
      </c>
      <c r="OT63" s="40">
        <f t="shared" si="1768"/>
        <v>713327749</v>
      </c>
      <c r="OU63" s="40">
        <f t="shared" si="1768"/>
        <v>2221</v>
      </c>
      <c r="OV63" s="40">
        <f t="shared" si="1768"/>
        <v>1985979341</v>
      </c>
      <c r="OW63" s="40">
        <f t="shared" si="1768"/>
        <v>2062822567</v>
      </c>
      <c r="OX63" s="40">
        <f t="shared" si="1768"/>
        <v>168596624</v>
      </c>
      <c r="OY63" s="41">
        <f>OX63/OW63</f>
        <v>8.1731035280069239E-2</v>
      </c>
      <c r="OZ63" s="30">
        <f t="shared" ref="OZ63:PG63" si="1769">SUM(OZ56,OZ54,OZ52,OZ47,OZ38,OZ31,OZ17,OZ58,OZ60,OZ62)</f>
        <v>0</v>
      </c>
      <c r="PA63" s="30">
        <f t="shared" si="1769"/>
        <v>0</v>
      </c>
      <c r="PB63" s="30">
        <f t="shared" si="1769"/>
        <v>0</v>
      </c>
      <c r="PC63" s="30">
        <f t="shared" si="1769"/>
        <v>0</v>
      </c>
      <c r="PD63" s="30">
        <f t="shared" si="1769"/>
        <v>0</v>
      </c>
      <c r="PE63" s="30">
        <f t="shared" si="1769"/>
        <v>0</v>
      </c>
      <c r="PF63" s="30">
        <f t="shared" si="1769"/>
        <v>0</v>
      </c>
      <c r="PG63" s="30">
        <f t="shared" si="1769"/>
        <v>0</v>
      </c>
      <c r="PH63" s="31" t="str">
        <f>IF(SUM(PH17,PH31,PH38,PH47,PH52,PH54,PH56,PH58,PH60,PH62)=0,"",SUM(PH17,PH31,PH38,PH47,PH52,,PH56,PH58,PH60,PH62)/COUNT(PH17,PH31,PH38,PH47,PH54,PH56,PH58,PH60,PH62))</f>
        <v/>
      </c>
    </row>
    <row r="65" spans="415:415" x14ac:dyDescent="0.2">
      <c r="OY65" s="32"/>
    </row>
    <row r="218" spans="3:3" x14ac:dyDescent="0.2">
      <c r="C218" s="7" t="s">
        <v>126</v>
      </c>
    </row>
    <row r="227" spans="3:3" x14ac:dyDescent="0.2">
      <c r="C227" s="7" t="s">
        <v>127</v>
      </c>
    </row>
  </sheetData>
  <phoneticPr fontId="2"/>
  <pageMargins left="0.51181102362204722" right="0.51181102362204722" top="0.55118110236220474" bottom="0.55118110236220474" header="0.31496062992125984" footer="0.31496062992125984"/>
  <pageSetup paperSize="9" scale="97" fitToWidth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BB263-7406-4B26-8455-114B991788F2}">
  <sheetPr>
    <pageSetUpPr fitToPage="1"/>
  </sheetPr>
  <dimension ref="A1:J63"/>
  <sheetViews>
    <sheetView workbookViewId="0">
      <selection activeCell="C6" sqref="C6"/>
    </sheetView>
  </sheetViews>
  <sheetFormatPr defaultRowHeight="13" x14ac:dyDescent="0.2"/>
  <cols>
    <col min="1" max="1" width="15.81640625" style="33" customWidth="1"/>
    <col min="2" max="2" width="9.08984375" style="7"/>
    <col min="3" max="3" width="11" style="7" bestFit="1" customWidth="1"/>
    <col min="4" max="4" width="7.26953125" style="7" customWidth="1"/>
    <col min="5" max="5" width="11" style="7" bestFit="1" customWidth="1"/>
    <col min="6" max="6" width="8" style="7" customWidth="1"/>
    <col min="7" max="8" width="11" style="7" bestFit="1" customWidth="1"/>
    <col min="9" max="9" width="10.7265625" style="7" customWidth="1"/>
    <col min="10" max="10" width="6.7265625" style="8" customWidth="1"/>
  </cols>
  <sheetData>
    <row r="1" spans="1:10" x14ac:dyDescent="0.2">
      <c r="A1" s="33" t="s">
        <v>0</v>
      </c>
      <c r="B1" s="6" t="s">
        <v>145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>
        <v>36</v>
      </c>
      <c r="C5" s="24">
        <v>19060000</v>
      </c>
      <c r="D5" s="24">
        <v>12</v>
      </c>
      <c r="E5" s="24">
        <v>7082174</v>
      </c>
      <c r="F5" s="24">
        <v>42</v>
      </c>
      <c r="G5" s="24">
        <v>16210621</v>
      </c>
      <c r="H5" s="24">
        <v>10750120</v>
      </c>
      <c r="I5" s="24">
        <v>1516000</v>
      </c>
      <c r="J5" s="38"/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36</v>
      </c>
      <c r="C17" s="25">
        <v>19060000</v>
      </c>
      <c r="D17" s="25">
        <v>12</v>
      </c>
      <c r="E17" s="25">
        <v>7082174</v>
      </c>
      <c r="F17" s="25">
        <v>42</v>
      </c>
      <c r="G17" s="25">
        <v>16210621</v>
      </c>
      <c r="H17" s="25">
        <v>10750120</v>
      </c>
      <c r="I17" s="25">
        <v>1516000</v>
      </c>
      <c r="J17" s="39" t="s">
        <v>184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2844</v>
      </c>
      <c r="C25" s="24">
        <v>43852534</v>
      </c>
      <c r="D25" s="24">
        <v>2946</v>
      </c>
      <c r="E25" s="24">
        <v>44805037</v>
      </c>
      <c r="F25" s="24">
        <v>2508</v>
      </c>
      <c r="G25" s="24">
        <v>18942875</v>
      </c>
      <c r="H25" s="24">
        <v>18754557</v>
      </c>
      <c r="I25" s="24">
        <v>3204000</v>
      </c>
      <c r="J25" s="38"/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2844</v>
      </c>
      <c r="C31" s="25">
        <v>43852534</v>
      </c>
      <c r="D31" s="25">
        <v>2946</v>
      </c>
      <c r="E31" s="25">
        <v>44805037</v>
      </c>
      <c r="F31" s="25">
        <v>2508</v>
      </c>
      <c r="G31" s="25">
        <v>18942875</v>
      </c>
      <c r="H31" s="25">
        <v>18754557</v>
      </c>
      <c r="I31" s="25">
        <v>3204000</v>
      </c>
      <c r="J31" s="39" t="s">
        <v>184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>
        <v>14</v>
      </c>
      <c r="C36" s="24">
        <v>56000000</v>
      </c>
      <c r="D36" s="24">
        <v>7</v>
      </c>
      <c r="E36" s="24">
        <v>37880231</v>
      </c>
      <c r="F36" s="24">
        <v>26</v>
      </c>
      <c r="G36" s="24">
        <v>84941108</v>
      </c>
      <c r="H36" s="24">
        <v>81024258</v>
      </c>
      <c r="I36" s="24">
        <v>8969000</v>
      </c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>
        <v>465000</v>
      </c>
      <c r="J37" s="38"/>
    </row>
    <row r="38" spans="1:10" x14ac:dyDescent="0.2">
      <c r="A38" s="36" t="s">
        <v>73</v>
      </c>
      <c r="B38" s="25">
        <v>14</v>
      </c>
      <c r="C38" s="25">
        <v>56000000</v>
      </c>
      <c r="D38" s="25">
        <v>7</v>
      </c>
      <c r="E38" s="25">
        <v>37880231</v>
      </c>
      <c r="F38" s="25">
        <v>26</v>
      </c>
      <c r="G38" s="25">
        <v>84941108</v>
      </c>
      <c r="H38" s="25">
        <v>81024258</v>
      </c>
      <c r="I38" s="25">
        <v>9434000</v>
      </c>
      <c r="J38" s="39" t="s">
        <v>184</v>
      </c>
    </row>
    <row r="39" spans="1:10" ht="24" x14ac:dyDescent="0.2">
      <c r="A39" s="35" t="s">
        <v>87</v>
      </c>
      <c r="B39" s="24"/>
      <c r="C39" s="24"/>
      <c r="D39" s="24"/>
      <c r="E39" s="24">
        <v>242280</v>
      </c>
      <c r="F39" s="24">
        <v>3</v>
      </c>
      <c r="G39" s="24">
        <v>2627343</v>
      </c>
      <c r="H39" s="24">
        <v>2748715</v>
      </c>
      <c r="I39" s="24">
        <v>247000</v>
      </c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>
        <v>51</v>
      </c>
      <c r="C46" s="24">
        <v>2371000</v>
      </c>
      <c r="D46" s="24">
        <v>337</v>
      </c>
      <c r="E46" s="24">
        <v>9220801</v>
      </c>
      <c r="F46" s="24">
        <v>87</v>
      </c>
      <c r="G46" s="24">
        <v>12881092</v>
      </c>
      <c r="H46" s="24">
        <v>16316287</v>
      </c>
      <c r="I46" s="24">
        <v>1646000</v>
      </c>
      <c r="J46" s="38"/>
    </row>
    <row r="47" spans="1:10" x14ac:dyDescent="0.2">
      <c r="A47" s="36" t="s">
        <v>73</v>
      </c>
      <c r="B47" s="25">
        <v>51</v>
      </c>
      <c r="C47" s="25">
        <v>2371000</v>
      </c>
      <c r="D47" s="25">
        <v>337</v>
      </c>
      <c r="E47" s="25">
        <v>9463081</v>
      </c>
      <c r="F47" s="25">
        <v>90</v>
      </c>
      <c r="G47" s="25">
        <v>15508435</v>
      </c>
      <c r="H47" s="25">
        <v>19065002</v>
      </c>
      <c r="I47" s="25">
        <v>1893000</v>
      </c>
      <c r="J47" s="39" t="s">
        <v>184</v>
      </c>
    </row>
    <row r="48" spans="1:10" x14ac:dyDescent="0.2">
      <c r="A48" s="35" t="s">
        <v>58</v>
      </c>
      <c r="B48" s="24"/>
      <c r="C48" s="24"/>
      <c r="D48" s="24"/>
      <c r="E48" s="24"/>
      <c r="F48" s="24"/>
      <c r="G48" s="24"/>
      <c r="H48" s="24"/>
      <c r="I48" s="24"/>
      <c r="J48" s="38"/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39" t="s">
        <v>184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>
        <v>6</v>
      </c>
      <c r="C55" s="24">
        <v>20000000</v>
      </c>
      <c r="D55" s="24">
        <v>5</v>
      </c>
      <c r="E55" s="24">
        <v>18545687</v>
      </c>
      <c r="F55" s="24">
        <v>2</v>
      </c>
      <c r="G55" s="24">
        <v>2000000</v>
      </c>
      <c r="H55" s="24">
        <v>3468474</v>
      </c>
      <c r="I55" s="24">
        <v>971000</v>
      </c>
      <c r="J55" s="38"/>
    </row>
    <row r="56" spans="1:10" x14ac:dyDescent="0.2">
      <c r="A56" s="36" t="s">
        <v>73</v>
      </c>
      <c r="B56" s="25">
        <v>6</v>
      </c>
      <c r="C56" s="25">
        <v>20000000</v>
      </c>
      <c r="D56" s="25">
        <v>5</v>
      </c>
      <c r="E56" s="25">
        <v>18545687</v>
      </c>
      <c r="F56" s="25">
        <v>2</v>
      </c>
      <c r="G56" s="25">
        <v>2000000</v>
      </c>
      <c r="H56" s="25">
        <v>3468474</v>
      </c>
      <c r="I56" s="25">
        <v>971000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2951</v>
      </c>
      <c r="C63" s="40">
        <v>141283534</v>
      </c>
      <c r="D63" s="40">
        <v>3307</v>
      </c>
      <c r="E63" s="40">
        <v>117776210</v>
      </c>
      <c r="F63" s="40">
        <v>2668</v>
      </c>
      <c r="G63" s="40">
        <v>137603039</v>
      </c>
      <c r="H63" s="40">
        <v>133062411</v>
      </c>
      <c r="I63" s="40">
        <v>17018000</v>
      </c>
      <c r="J63" s="43"/>
    </row>
  </sheetData>
  <phoneticPr fontId="2"/>
  <pageMargins left="0.7" right="0.7" top="0.75" bottom="0.75" header="0.3" footer="0.3"/>
  <pageSetup paperSize="9" scale="87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4907C-F1DC-4C59-8567-05FE2406418C}">
  <sheetPr>
    <pageSetUpPr fitToPage="1"/>
  </sheetPr>
  <dimension ref="A1:J63"/>
  <sheetViews>
    <sheetView workbookViewId="0">
      <selection activeCell="D9" sqref="D9"/>
    </sheetView>
  </sheetViews>
  <sheetFormatPr defaultRowHeight="13" x14ac:dyDescent="0.2"/>
  <cols>
    <col min="1" max="1" width="15.81640625" style="33" customWidth="1"/>
    <col min="2" max="2" width="9.08984375" style="7"/>
    <col min="3" max="3" width="12.08984375" style="7" bestFit="1" customWidth="1"/>
    <col min="4" max="4" width="9.08984375" style="7"/>
    <col min="5" max="5" width="11" style="7" bestFit="1" customWidth="1"/>
    <col min="6" max="6" width="9.08984375" style="7"/>
    <col min="7" max="7" width="12.08984375" style="7" bestFit="1" customWidth="1"/>
    <col min="8" max="9" width="11" style="7" bestFit="1" customWidth="1"/>
    <col min="10" max="10" width="9.08984375" style="8"/>
  </cols>
  <sheetData>
    <row r="1" spans="1:10" x14ac:dyDescent="0.2">
      <c r="A1" s="33" t="s">
        <v>0</v>
      </c>
      <c r="B1" s="6" t="s">
        <v>146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>
        <v>54</v>
      </c>
      <c r="C5" s="24">
        <v>28709000</v>
      </c>
      <c r="D5" s="24">
        <v>31</v>
      </c>
      <c r="E5" s="24">
        <v>18091362</v>
      </c>
      <c r="F5" s="24">
        <v>65</v>
      </c>
      <c r="G5" s="24">
        <v>26828259</v>
      </c>
      <c r="H5" s="24">
        <v>24921166</v>
      </c>
      <c r="I5" s="24">
        <v>3969000</v>
      </c>
      <c r="J5" s="38"/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54</v>
      </c>
      <c r="C17" s="25">
        <v>28709000</v>
      </c>
      <c r="D17" s="25">
        <v>31</v>
      </c>
      <c r="E17" s="25">
        <v>18091362</v>
      </c>
      <c r="F17" s="25">
        <v>65</v>
      </c>
      <c r="G17" s="25">
        <v>26828259</v>
      </c>
      <c r="H17" s="25">
        <v>24921166</v>
      </c>
      <c r="I17" s="25">
        <v>3969000</v>
      </c>
      <c r="J17" s="39" t="s">
        <v>184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3023</v>
      </c>
      <c r="C25" s="24">
        <v>53562000</v>
      </c>
      <c r="D25" s="24">
        <v>2730</v>
      </c>
      <c r="E25" s="24">
        <v>45772905</v>
      </c>
      <c r="F25" s="24">
        <v>2801</v>
      </c>
      <c r="G25" s="24">
        <v>26731970</v>
      </c>
      <c r="H25" s="24">
        <v>21505583</v>
      </c>
      <c r="I25" s="24">
        <v>3922000</v>
      </c>
      <c r="J25" s="38"/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3023</v>
      </c>
      <c r="C31" s="25">
        <v>53562000</v>
      </c>
      <c r="D31" s="25">
        <v>2730</v>
      </c>
      <c r="E31" s="25">
        <v>45772905</v>
      </c>
      <c r="F31" s="25">
        <v>2801</v>
      </c>
      <c r="G31" s="25">
        <v>26731970</v>
      </c>
      <c r="H31" s="25">
        <v>21505583</v>
      </c>
      <c r="I31" s="25">
        <v>3922000</v>
      </c>
      <c r="J31" s="39" t="s">
        <v>184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>
        <v>35</v>
      </c>
      <c r="C36" s="24">
        <v>121767000</v>
      </c>
      <c r="D36" s="24">
        <v>14</v>
      </c>
      <c r="E36" s="24">
        <v>62539274</v>
      </c>
      <c r="F36" s="24">
        <v>47</v>
      </c>
      <c r="G36" s="24">
        <v>144168831</v>
      </c>
      <c r="H36" s="24">
        <v>96237916</v>
      </c>
      <c r="I36" s="24">
        <v>20586000</v>
      </c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35</v>
      </c>
      <c r="C38" s="25">
        <v>121767000</v>
      </c>
      <c r="D38" s="25">
        <v>14</v>
      </c>
      <c r="E38" s="25">
        <v>62539274</v>
      </c>
      <c r="F38" s="25">
        <v>47</v>
      </c>
      <c r="G38" s="25">
        <v>144168831</v>
      </c>
      <c r="H38" s="25">
        <v>96237916</v>
      </c>
      <c r="I38" s="25">
        <v>20586000</v>
      </c>
      <c r="J38" s="39" t="s">
        <v>184</v>
      </c>
    </row>
    <row r="39" spans="1:10" ht="24" x14ac:dyDescent="0.2">
      <c r="A39" s="35" t="s">
        <v>87</v>
      </c>
      <c r="B39" s="24">
        <v>3</v>
      </c>
      <c r="C39" s="24">
        <v>3300000</v>
      </c>
      <c r="D39" s="24"/>
      <c r="E39" s="24">
        <v>751158</v>
      </c>
      <c r="F39" s="24">
        <v>6</v>
      </c>
      <c r="G39" s="24">
        <v>5176185</v>
      </c>
      <c r="H39" s="24">
        <v>4954750</v>
      </c>
      <c r="I39" s="24">
        <v>366000</v>
      </c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>
        <v>84</v>
      </c>
      <c r="C46" s="24">
        <v>5843000</v>
      </c>
      <c r="D46" s="24">
        <v>129</v>
      </c>
      <c r="E46" s="24">
        <v>16284207</v>
      </c>
      <c r="F46" s="24">
        <v>42</v>
      </c>
      <c r="G46" s="24">
        <v>2439885</v>
      </c>
      <c r="H46" s="24">
        <v>10711416</v>
      </c>
      <c r="I46" s="24">
        <v>376000</v>
      </c>
      <c r="J46" s="38"/>
    </row>
    <row r="47" spans="1:10" x14ac:dyDescent="0.2">
      <c r="A47" s="36" t="s">
        <v>73</v>
      </c>
      <c r="B47" s="25">
        <v>87</v>
      </c>
      <c r="C47" s="25">
        <v>9143000</v>
      </c>
      <c r="D47" s="25">
        <v>129</v>
      </c>
      <c r="E47" s="25">
        <v>17035365</v>
      </c>
      <c r="F47" s="25">
        <v>48</v>
      </c>
      <c r="G47" s="25">
        <v>7616070</v>
      </c>
      <c r="H47" s="25">
        <v>15666166</v>
      </c>
      <c r="I47" s="25">
        <v>742000</v>
      </c>
      <c r="J47" s="39" t="s">
        <v>184</v>
      </c>
    </row>
    <row r="48" spans="1:10" x14ac:dyDescent="0.2">
      <c r="A48" s="35" t="s">
        <v>58</v>
      </c>
      <c r="B48" s="24"/>
      <c r="C48" s="24"/>
      <c r="D48" s="24"/>
      <c r="E48" s="24"/>
      <c r="F48" s="24"/>
      <c r="G48" s="24"/>
      <c r="H48" s="24"/>
      <c r="I48" s="24"/>
      <c r="J48" s="38"/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39" t="s">
        <v>184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>
        <v>7</v>
      </c>
      <c r="C55" s="24">
        <v>8500000</v>
      </c>
      <c r="D55" s="24">
        <v>6</v>
      </c>
      <c r="E55" s="24">
        <v>7500000</v>
      </c>
      <c r="F55" s="24">
        <v>3</v>
      </c>
      <c r="G55" s="24">
        <v>3000000</v>
      </c>
      <c r="H55" s="24">
        <v>1041666</v>
      </c>
      <c r="I55" s="24">
        <v>70000</v>
      </c>
      <c r="J55" s="38"/>
    </row>
    <row r="56" spans="1:10" x14ac:dyDescent="0.2">
      <c r="A56" s="36" t="s">
        <v>73</v>
      </c>
      <c r="B56" s="25">
        <v>7</v>
      </c>
      <c r="C56" s="25">
        <v>8500000</v>
      </c>
      <c r="D56" s="25">
        <v>6</v>
      </c>
      <c r="E56" s="25">
        <v>7500000</v>
      </c>
      <c r="F56" s="25">
        <v>3</v>
      </c>
      <c r="G56" s="25">
        <v>3000000</v>
      </c>
      <c r="H56" s="25">
        <v>1041666</v>
      </c>
      <c r="I56" s="25">
        <v>70000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>
        <v>1</v>
      </c>
      <c r="C59" s="24">
        <v>1800000</v>
      </c>
      <c r="D59" s="24"/>
      <c r="E59" s="24">
        <v>27700</v>
      </c>
      <c r="F59" s="24">
        <v>1</v>
      </c>
      <c r="G59" s="24">
        <v>1772300</v>
      </c>
      <c r="H59" s="24">
        <v>147666</v>
      </c>
      <c r="I59" s="24"/>
      <c r="J59" s="38"/>
    </row>
    <row r="60" spans="1:10" x14ac:dyDescent="0.2">
      <c r="A60" s="36" t="s">
        <v>73</v>
      </c>
      <c r="B60" s="25">
        <v>1</v>
      </c>
      <c r="C60" s="25">
        <v>1800000</v>
      </c>
      <c r="D60" s="25">
        <v>0</v>
      </c>
      <c r="E60" s="25">
        <v>27700</v>
      </c>
      <c r="F60" s="25">
        <v>1</v>
      </c>
      <c r="G60" s="25">
        <v>1772300</v>
      </c>
      <c r="H60" s="25">
        <v>147666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3207</v>
      </c>
      <c r="C63" s="40">
        <v>223481000</v>
      </c>
      <c r="D63" s="40">
        <v>2910</v>
      </c>
      <c r="E63" s="40">
        <v>150966606</v>
      </c>
      <c r="F63" s="40">
        <v>2965</v>
      </c>
      <c r="G63" s="40">
        <v>210117430</v>
      </c>
      <c r="H63" s="40">
        <v>159520163</v>
      </c>
      <c r="I63" s="40">
        <v>29289000</v>
      </c>
      <c r="J63" s="43"/>
    </row>
  </sheetData>
  <phoneticPr fontId="2"/>
  <pageMargins left="0.7" right="0.7" top="0.75" bottom="0.75" header="0.3" footer="0.3"/>
  <pageSetup paperSize="9" scale="81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59CC5-B2F5-4EC9-B184-9EFF10A0BF04}">
  <sheetPr>
    <pageSetUpPr fitToPage="1"/>
  </sheetPr>
  <dimension ref="A1:J63"/>
  <sheetViews>
    <sheetView workbookViewId="0">
      <selection activeCell="C13" sqref="C13"/>
    </sheetView>
  </sheetViews>
  <sheetFormatPr defaultRowHeight="13" x14ac:dyDescent="0.2"/>
  <cols>
    <col min="1" max="1" width="15.81640625" style="33" customWidth="1"/>
    <col min="2" max="2" width="9.08984375" style="7"/>
    <col min="3" max="3" width="8.08984375" style="7" customWidth="1"/>
    <col min="4" max="4" width="9.08984375" style="7"/>
    <col min="5" max="5" width="9.54296875" style="7" customWidth="1"/>
    <col min="6" max="6" width="7.26953125" style="7" customWidth="1"/>
    <col min="7" max="7" width="12.08984375" style="7" bestFit="1" customWidth="1"/>
    <col min="8" max="8" width="9.08984375" style="7"/>
    <col min="9" max="9" width="8.7265625" style="7" customWidth="1"/>
    <col min="10" max="10" width="7.1796875" style="8" customWidth="1"/>
  </cols>
  <sheetData>
    <row r="1" spans="1:10" x14ac:dyDescent="0.2">
      <c r="A1" s="33" t="s">
        <v>0</v>
      </c>
      <c r="B1" s="6" t="s">
        <v>147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>
        <v>55658000</v>
      </c>
      <c r="H5" s="24"/>
      <c r="I5" s="24"/>
      <c r="J5" s="38"/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55658000</v>
      </c>
      <c r="H17" s="25">
        <v>0</v>
      </c>
      <c r="I17" s="25">
        <v>0</v>
      </c>
      <c r="J17" s="39" t="s">
        <v>184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>
        <v>1058000</v>
      </c>
      <c r="H18" s="24"/>
      <c r="I18" s="24"/>
      <c r="J18" s="38"/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/>
      <c r="C25" s="24"/>
      <c r="D25" s="24"/>
      <c r="E25" s="24"/>
      <c r="F25" s="24"/>
      <c r="G25" s="24">
        <v>39082000</v>
      </c>
      <c r="H25" s="24"/>
      <c r="I25" s="24"/>
      <c r="J25" s="38"/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40140000</v>
      </c>
      <c r="H31" s="25">
        <v>0</v>
      </c>
      <c r="I31" s="25">
        <v>0</v>
      </c>
      <c r="J31" s="39" t="s">
        <v>184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/>
      <c r="C36" s="24"/>
      <c r="D36" s="24"/>
      <c r="E36" s="24"/>
      <c r="F36" s="24"/>
      <c r="G36" s="24">
        <v>219593000</v>
      </c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219593000</v>
      </c>
      <c r="H38" s="25">
        <v>0</v>
      </c>
      <c r="I38" s="25">
        <v>0</v>
      </c>
      <c r="J38" s="39" t="s">
        <v>184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>
        <v>9951000</v>
      </c>
      <c r="H39" s="24"/>
      <c r="I39" s="24"/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9951000</v>
      </c>
      <c r="H47" s="25">
        <v>0</v>
      </c>
      <c r="I47" s="25">
        <v>0</v>
      </c>
      <c r="J47" s="39" t="s">
        <v>184</v>
      </c>
    </row>
    <row r="48" spans="1:10" x14ac:dyDescent="0.2">
      <c r="A48" s="35" t="s">
        <v>58</v>
      </c>
      <c r="B48" s="24"/>
      <c r="C48" s="24"/>
      <c r="D48" s="24"/>
      <c r="E48" s="24"/>
      <c r="F48" s="24"/>
      <c r="G48" s="24"/>
      <c r="H48" s="24"/>
      <c r="I48" s="24"/>
      <c r="J48" s="38"/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>
        <v>28023000</v>
      </c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28023000</v>
      </c>
      <c r="H52" s="25">
        <v>0</v>
      </c>
      <c r="I52" s="25">
        <v>0</v>
      </c>
      <c r="J52" s="39" t="s">
        <v>184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>
        <v>2835000</v>
      </c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2835000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>
        <v>25364000</v>
      </c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25364000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381564000</v>
      </c>
      <c r="H63" s="40">
        <v>0</v>
      </c>
      <c r="I63" s="40">
        <v>0</v>
      </c>
      <c r="J63" s="43"/>
    </row>
  </sheetData>
  <phoneticPr fontId="2"/>
  <pageMargins left="0.7" right="0.7" top="0.75" bottom="0.75" header="0.3" footer="0.3"/>
  <pageSetup paperSize="9" scale="87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D3066-27BD-421F-9143-5E27C72FF062}">
  <sheetPr>
    <pageSetUpPr fitToPage="1"/>
  </sheetPr>
  <dimension ref="A1:J63"/>
  <sheetViews>
    <sheetView workbookViewId="0">
      <selection activeCell="A2" sqref="A2"/>
    </sheetView>
  </sheetViews>
  <sheetFormatPr defaultRowHeight="13" x14ac:dyDescent="0.2"/>
  <cols>
    <col min="1" max="1" width="15.81640625" style="33" customWidth="1"/>
    <col min="2" max="2" width="9.08984375" style="7"/>
    <col min="3" max="3" width="11" style="7" bestFit="1" customWidth="1"/>
    <col min="4" max="4" width="9.08984375" style="7"/>
    <col min="5" max="5" width="11" style="7" bestFit="1" customWidth="1"/>
    <col min="6" max="6" width="9.08984375" style="7"/>
    <col min="7" max="7" width="12.08984375" style="7" bestFit="1" customWidth="1"/>
    <col min="8" max="8" width="9.08984375" style="7"/>
    <col min="9" max="9" width="9.90625" style="7" bestFit="1" customWidth="1"/>
    <col min="10" max="10" width="9.08984375" style="8"/>
  </cols>
  <sheetData>
    <row r="1" spans="1:10" x14ac:dyDescent="0.2">
      <c r="A1" s="33" t="s">
        <v>0</v>
      </c>
      <c r="B1" s="6" t="s">
        <v>148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>
        <v>78982000</v>
      </c>
      <c r="H5" s="24"/>
      <c r="I5" s="24"/>
      <c r="J5" s="38"/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78982000</v>
      </c>
      <c r="H17" s="25">
        <v>0</v>
      </c>
      <c r="I17" s="25">
        <v>0</v>
      </c>
      <c r="J17" s="39" t="s">
        <v>184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>
        <v>2119000</v>
      </c>
      <c r="H18" s="24"/>
      <c r="I18" s="24"/>
      <c r="J18" s="38"/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/>
      <c r="C25" s="24"/>
      <c r="D25" s="24"/>
      <c r="E25" s="24"/>
      <c r="F25" s="24"/>
      <c r="G25" s="24">
        <v>94408000</v>
      </c>
      <c r="H25" s="24"/>
      <c r="I25" s="24"/>
      <c r="J25" s="38"/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>
        <v>0</v>
      </c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96527000</v>
      </c>
      <c r="H31" s="25">
        <v>0</v>
      </c>
      <c r="I31" s="25">
        <v>0</v>
      </c>
      <c r="J31" s="39" t="s">
        <v>184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/>
      <c r="C36" s="24"/>
      <c r="D36" s="24"/>
      <c r="E36" s="24"/>
      <c r="F36" s="24"/>
      <c r="G36" s="24">
        <v>229780000</v>
      </c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229780000</v>
      </c>
      <c r="H38" s="25">
        <v>0</v>
      </c>
      <c r="I38" s="25">
        <v>0</v>
      </c>
      <c r="J38" s="39" t="s">
        <v>184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>
        <v>11428000</v>
      </c>
      <c r="H39" s="24"/>
      <c r="I39" s="24"/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11428000</v>
      </c>
      <c r="H47" s="25">
        <v>0</v>
      </c>
      <c r="I47" s="25">
        <v>0</v>
      </c>
      <c r="J47" s="39" t="s">
        <v>184</v>
      </c>
    </row>
    <row r="48" spans="1:10" x14ac:dyDescent="0.2">
      <c r="A48" s="35" t="s">
        <v>58</v>
      </c>
      <c r="B48" s="24"/>
      <c r="C48" s="24"/>
      <c r="D48" s="24"/>
      <c r="E48" s="24"/>
      <c r="F48" s="24"/>
      <c r="G48" s="24"/>
      <c r="H48" s="24"/>
      <c r="I48" s="24"/>
      <c r="J48" s="38"/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>
        <v>26219000</v>
      </c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26219000</v>
      </c>
      <c r="H52" s="25">
        <v>0</v>
      </c>
      <c r="I52" s="25">
        <v>0</v>
      </c>
      <c r="J52" s="39" t="s">
        <v>184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>
        <v>655000</v>
      </c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655000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>
        <v>18523000</v>
      </c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18523000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462114000</v>
      </c>
      <c r="H63" s="40">
        <v>0</v>
      </c>
      <c r="I63" s="40">
        <v>0</v>
      </c>
      <c r="J63" s="43"/>
    </row>
  </sheetData>
  <phoneticPr fontId="2"/>
  <pageMargins left="0.7" right="0.7" top="0.75" bottom="0.75" header="0.3" footer="0.3"/>
  <pageSetup paperSize="9" scale="85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9951B-D2B5-487F-801D-25A1F9A0A0E5}">
  <sheetPr>
    <pageSetUpPr fitToPage="1"/>
  </sheetPr>
  <dimension ref="A1:J63"/>
  <sheetViews>
    <sheetView workbookViewId="0"/>
  </sheetViews>
  <sheetFormatPr defaultRowHeight="13" x14ac:dyDescent="0.2"/>
  <cols>
    <col min="1" max="1" width="15.81640625" style="33" customWidth="1"/>
    <col min="2" max="2" width="9.08984375" style="7"/>
    <col min="3" max="3" width="11" style="7" bestFit="1" customWidth="1"/>
    <col min="4" max="4" width="9.08984375" style="7"/>
    <col min="5" max="5" width="8.1796875" style="7" customWidth="1"/>
    <col min="6" max="6" width="9.08984375" style="7"/>
    <col min="7" max="7" width="12.08984375" style="7" bestFit="1" customWidth="1"/>
    <col min="8" max="8" width="9.08984375" style="7"/>
    <col min="9" max="9" width="8.6328125" style="7" customWidth="1"/>
    <col min="10" max="10" width="6.81640625" style="8" customWidth="1"/>
  </cols>
  <sheetData>
    <row r="1" spans="1:10" x14ac:dyDescent="0.2">
      <c r="A1" s="33" t="s">
        <v>0</v>
      </c>
      <c r="B1" s="6" t="s">
        <v>149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>
        <v>92191000</v>
      </c>
      <c r="H5" s="24"/>
      <c r="I5" s="24"/>
      <c r="J5" s="38"/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92191000</v>
      </c>
      <c r="H17" s="25">
        <v>0</v>
      </c>
      <c r="I17" s="25">
        <v>0</v>
      </c>
      <c r="J17" s="39" t="s">
        <v>184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>
        <v>44590000</v>
      </c>
      <c r="H18" s="24"/>
      <c r="I18" s="24"/>
      <c r="J18" s="38"/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/>
      <c r="C25" s="24"/>
      <c r="D25" s="24"/>
      <c r="E25" s="24"/>
      <c r="F25" s="24"/>
      <c r="G25" s="24">
        <v>162428000</v>
      </c>
      <c r="H25" s="24"/>
      <c r="I25" s="24"/>
      <c r="J25" s="38"/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207018000</v>
      </c>
      <c r="H31" s="25">
        <v>0</v>
      </c>
      <c r="I31" s="25">
        <v>0</v>
      </c>
      <c r="J31" s="39" t="s">
        <v>184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/>
      <c r="C36" s="24"/>
      <c r="D36" s="24"/>
      <c r="E36" s="24"/>
      <c r="F36" s="24"/>
      <c r="G36" s="24">
        <v>221016000</v>
      </c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221016000</v>
      </c>
      <c r="H38" s="25">
        <v>0</v>
      </c>
      <c r="I38" s="25">
        <v>0</v>
      </c>
      <c r="J38" s="39" t="s">
        <v>184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>
        <v>11730000</v>
      </c>
      <c r="H39" s="24"/>
      <c r="I39" s="24"/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>
        <v>19410000</v>
      </c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31140000</v>
      </c>
      <c r="H47" s="25">
        <v>0</v>
      </c>
      <c r="I47" s="25">
        <v>0</v>
      </c>
      <c r="J47" s="39" t="s">
        <v>184</v>
      </c>
    </row>
    <row r="48" spans="1:10" x14ac:dyDescent="0.2">
      <c r="A48" s="35" t="s">
        <v>58</v>
      </c>
      <c r="B48" s="24"/>
      <c r="C48" s="24"/>
      <c r="D48" s="24"/>
      <c r="E48" s="24"/>
      <c r="F48" s="24"/>
      <c r="G48" s="24"/>
      <c r="H48" s="24"/>
      <c r="I48" s="24"/>
      <c r="J48" s="38"/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>
        <v>35865000</v>
      </c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35865000</v>
      </c>
      <c r="H52" s="25">
        <v>0</v>
      </c>
      <c r="I52" s="25">
        <v>0</v>
      </c>
      <c r="J52" s="39" t="s">
        <v>184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>
        <v>456000</v>
      </c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456000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>
        <v>17632000</v>
      </c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17632000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605318000</v>
      </c>
      <c r="H63" s="40">
        <v>0</v>
      </c>
      <c r="I63" s="40">
        <v>0</v>
      </c>
      <c r="J63" s="41"/>
    </row>
  </sheetData>
  <phoneticPr fontId="2"/>
  <pageMargins left="0.7" right="0.7" top="0.75" bottom="0.75" header="0.3" footer="0.3"/>
  <pageSetup paperSize="9" scale="87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5F46E-DCEB-4F43-96AE-B541EE5D0B8D}">
  <sheetPr>
    <pageSetUpPr fitToPage="1"/>
  </sheetPr>
  <dimension ref="A1:J63"/>
  <sheetViews>
    <sheetView workbookViewId="0">
      <selection activeCell="C7" sqref="C7"/>
    </sheetView>
  </sheetViews>
  <sheetFormatPr defaultRowHeight="13" x14ac:dyDescent="0.2"/>
  <cols>
    <col min="1" max="1" width="15.81640625" style="33" customWidth="1"/>
    <col min="2" max="2" width="7.26953125" style="7" customWidth="1"/>
    <col min="3" max="3" width="11" style="7" bestFit="1" customWidth="1"/>
    <col min="4" max="4" width="6.453125" style="7" customWidth="1"/>
    <col min="5" max="5" width="11" style="7" bestFit="1" customWidth="1"/>
    <col min="6" max="6" width="7.36328125" style="7" customWidth="1"/>
    <col min="7" max="8" width="12.08984375" style="7" bestFit="1" customWidth="1"/>
    <col min="9" max="9" width="11" style="7" bestFit="1" customWidth="1"/>
    <col min="10" max="10" width="7.1796875" style="8" customWidth="1"/>
  </cols>
  <sheetData>
    <row r="1" spans="1:10" x14ac:dyDescent="0.2">
      <c r="A1" s="33" t="s">
        <v>0</v>
      </c>
      <c r="B1" s="6" t="s">
        <v>150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>
        <v>81</v>
      </c>
      <c r="C5" s="24">
        <v>60407000</v>
      </c>
      <c r="D5" s="24">
        <v>85</v>
      </c>
      <c r="E5" s="24">
        <v>60134000</v>
      </c>
      <c r="F5" s="24">
        <v>188</v>
      </c>
      <c r="G5" s="24">
        <v>92464000</v>
      </c>
      <c r="H5" s="24">
        <v>92327000</v>
      </c>
      <c r="I5" s="24">
        <v>18050000</v>
      </c>
      <c r="J5" s="38">
        <v>0.19550000000000001</v>
      </c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81</v>
      </c>
      <c r="C17" s="25">
        <v>60407000</v>
      </c>
      <c r="D17" s="25">
        <v>85</v>
      </c>
      <c r="E17" s="25">
        <v>60134000</v>
      </c>
      <c r="F17" s="25">
        <v>188</v>
      </c>
      <c r="G17" s="25">
        <v>92464000</v>
      </c>
      <c r="H17" s="25">
        <v>92327000</v>
      </c>
      <c r="I17" s="25">
        <v>18050000</v>
      </c>
      <c r="J17" s="39">
        <v>0.19550000000000001</v>
      </c>
    </row>
    <row r="18" spans="1:10" x14ac:dyDescent="0.2">
      <c r="A18" s="35" t="s">
        <v>90</v>
      </c>
      <c r="B18" s="24">
        <v>214</v>
      </c>
      <c r="C18" s="24">
        <v>34713000</v>
      </c>
      <c r="D18" s="24">
        <v>145</v>
      </c>
      <c r="E18" s="24">
        <v>33747000</v>
      </c>
      <c r="F18" s="24">
        <v>261</v>
      </c>
      <c r="G18" s="24">
        <v>45556000</v>
      </c>
      <c r="H18" s="24">
        <v>45073000</v>
      </c>
      <c r="I18" s="24">
        <v>4188000</v>
      </c>
      <c r="J18" s="38">
        <v>9.2899999999999996E-2</v>
      </c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75</v>
      </c>
      <c r="C25" s="24">
        <v>77282000</v>
      </c>
      <c r="D25" s="24">
        <v>63</v>
      </c>
      <c r="E25" s="24">
        <v>95922000</v>
      </c>
      <c r="F25" s="24">
        <v>207</v>
      </c>
      <c r="G25" s="24">
        <v>143788000</v>
      </c>
      <c r="H25" s="24">
        <v>153108000</v>
      </c>
      <c r="I25" s="24">
        <v>17140000</v>
      </c>
      <c r="J25" s="38">
        <v>0.1119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289</v>
      </c>
      <c r="C31" s="25">
        <v>111995000</v>
      </c>
      <c r="D31" s="25">
        <v>208</v>
      </c>
      <c r="E31" s="25">
        <v>129669000</v>
      </c>
      <c r="F31" s="25">
        <v>468</v>
      </c>
      <c r="G31" s="25">
        <v>189344000</v>
      </c>
      <c r="H31" s="25">
        <v>198181000</v>
      </c>
      <c r="I31" s="25">
        <v>21328000</v>
      </c>
      <c r="J31" s="39">
        <v>0.10239999999999999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>
        <v>22</v>
      </c>
      <c r="C36" s="24">
        <v>76510000</v>
      </c>
      <c r="D36" s="24">
        <v>38</v>
      </c>
      <c r="E36" s="24">
        <v>79809000</v>
      </c>
      <c r="F36" s="24">
        <v>75</v>
      </c>
      <c r="G36" s="24">
        <v>217717000</v>
      </c>
      <c r="H36" s="24">
        <v>219366000</v>
      </c>
      <c r="I36" s="24">
        <v>42034000</v>
      </c>
      <c r="J36" s="38">
        <v>0.19159999999999999</v>
      </c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22</v>
      </c>
      <c r="C38" s="25">
        <v>76510000</v>
      </c>
      <c r="D38" s="25">
        <v>38</v>
      </c>
      <c r="E38" s="25">
        <v>79809000</v>
      </c>
      <c r="F38" s="25">
        <v>75</v>
      </c>
      <c r="G38" s="25">
        <v>217717000</v>
      </c>
      <c r="H38" s="25">
        <v>219366000</v>
      </c>
      <c r="I38" s="25">
        <v>42034000</v>
      </c>
      <c r="J38" s="39">
        <v>0.19159999999999999</v>
      </c>
    </row>
    <row r="39" spans="1:10" ht="24" x14ac:dyDescent="0.2">
      <c r="A39" s="35" t="s">
        <v>87</v>
      </c>
      <c r="B39" s="24">
        <v>119</v>
      </c>
      <c r="C39" s="24">
        <v>43400000</v>
      </c>
      <c r="D39" s="24">
        <v>40</v>
      </c>
      <c r="E39" s="24">
        <v>24296000</v>
      </c>
      <c r="F39" s="24">
        <v>146</v>
      </c>
      <c r="G39" s="24">
        <v>50244000</v>
      </c>
      <c r="H39" s="24">
        <v>40692000</v>
      </c>
      <c r="I39" s="24">
        <v>5898000</v>
      </c>
      <c r="J39" s="38">
        <v>0.1449</v>
      </c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119</v>
      </c>
      <c r="C47" s="25">
        <v>43400000</v>
      </c>
      <c r="D47" s="25">
        <v>40</v>
      </c>
      <c r="E47" s="25">
        <v>24296000</v>
      </c>
      <c r="F47" s="25">
        <v>146</v>
      </c>
      <c r="G47" s="25">
        <v>50244000</v>
      </c>
      <c r="H47" s="25">
        <v>40692000</v>
      </c>
      <c r="I47" s="25">
        <v>5898000</v>
      </c>
      <c r="J47" s="39">
        <v>0.1449</v>
      </c>
    </row>
    <row r="48" spans="1:10" x14ac:dyDescent="0.2">
      <c r="A48" s="35" t="s">
        <v>58</v>
      </c>
      <c r="B48" s="24"/>
      <c r="C48" s="24"/>
      <c r="D48" s="24"/>
      <c r="E48" s="24"/>
      <c r="F48" s="24"/>
      <c r="G48" s="24"/>
      <c r="H48" s="24"/>
      <c r="I48" s="24"/>
      <c r="J48" s="38"/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>
        <v>3005</v>
      </c>
      <c r="C50" s="24">
        <v>73575000</v>
      </c>
      <c r="D50" s="24"/>
      <c r="E50" s="24">
        <v>74123000</v>
      </c>
      <c r="F50" s="24">
        <v>3000</v>
      </c>
      <c r="G50" s="24">
        <v>36317000</v>
      </c>
      <c r="H50" s="24">
        <v>36591000</v>
      </c>
      <c r="I50" s="24">
        <v>3472000</v>
      </c>
      <c r="J50" s="38">
        <v>9.4799999999999995E-2</v>
      </c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3005</v>
      </c>
      <c r="C52" s="25">
        <v>73575000</v>
      </c>
      <c r="D52" s="25">
        <v>0</v>
      </c>
      <c r="E52" s="25">
        <v>74123000</v>
      </c>
      <c r="F52" s="25">
        <v>3000</v>
      </c>
      <c r="G52" s="25">
        <v>36317000</v>
      </c>
      <c r="H52" s="25">
        <v>36591000</v>
      </c>
      <c r="I52" s="25">
        <v>3472000</v>
      </c>
      <c r="J52" s="39">
        <v>9.4799999999999995E-2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>
        <v>0</v>
      </c>
      <c r="C55" s="24">
        <v>0</v>
      </c>
      <c r="D55" s="24">
        <v>1</v>
      </c>
      <c r="E55" s="24">
        <v>456000</v>
      </c>
      <c r="F55" s="24"/>
      <c r="G55" s="24"/>
      <c r="H55" s="24">
        <v>228000</v>
      </c>
      <c r="I55" s="24">
        <v>15000</v>
      </c>
      <c r="J55" s="38">
        <v>6.5699999999999995E-2</v>
      </c>
    </row>
    <row r="56" spans="1:10" x14ac:dyDescent="0.2">
      <c r="A56" s="36" t="s">
        <v>73</v>
      </c>
      <c r="B56" s="25">
        <v>0</v>
      </c>
      <c r="C56" s="25">
        <v>0</v>
      </c>
      <c r="D56" s="25">
        <v>1</v>
      </c>
      <c r="E56" s="25">
        <v>456000</v>
      </c>
      <c r="F56" s="25">
        <v>0</v>
      </c>
      <c r="G56" s="25">
        <v>0</v>
      </c>
      <c r="H56" s="25">
        <v>228000</v>
      </c>
      <c r="I56" s="25">
        <v>15000</v>
      </c>
      <c r="J56" s="39">
        <v>6.5699999999999995E-2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>
        <v>10</v>
      </c>
      <c r="C61" s="24">
        <v>12950000</v>
      </c>
      <c r="D61" s="24">
        <v>10</v>
      </c>
      <c r="E61" s="24">
        <v>5857000</v>
      </c>
      <c r="F61" s="24">
        <v>21</v>
      </c>
      <c r="G61" s="24">
        <v>24725000</v>
      </c>
      <c r="H61" s="24">
        <v>21178000</v>
      </c>
      <c r="I61" s="24">
        <v>1640000</v>
      </c>
      <c r="J61" s="38">
        <v>7.7399999999999997E-2</v>
      </c>
    </row>
    <row r="62" spans="1:10" x14ac:dyDescent="0.2">
      <c r="A62" s="36" t="s">
        <v>73</v>
      </c>
      <c r="B62" s="25">
        <v>10</v>
      </c>
      <c r="C62" s="25">
        <v>12950000</v>
      </c>
      <c r="D62" s="25">
        <v>10</v>
      </c>
      <c r="E62" s="25">
        <v>5857000</v>
      </c>
      <c r="F62" s="25">
        <v>21</v>
      </c>
      <c r="G62" s="25">
        <v>24725000</v>
      </c>
      <c r="H62" s="25">
        <v>21178000</v>
      </c>
      <c r="I62" s="25">
        <v>1640000</v>
      </c>
      <c r="J62" s="39">
        <v>7.7399999999999997E-2</v>
      </c>
    </row>
    <row r="63" spans="1:10" ht="13.5" thickBot="1" x14ac:dyDescent="0.25">
      <c r="A63" s="37" t="s">
        <v>61</v>
      </c>
      <c r="B63" s="40">
        <v>3526</v>
      </c>
      <c r="C63" s="40">
        <v>378837000</v>
      </c>
      <c r="D63" s="40">
        <v>382</v>
      </c>
      <c r="E63" s="40">
        <v>374344000</v>
      </c>
      <c r="F63" s="40">
        <v>3898</v>
      </c>
      <c r="G63" s="40">
        <v>610811000</v>
      </c>
      <c r="H63" s="40">
        <v>608563000</v>
      </c>
      <c r="I63" s="40">
        <v>92437000</v>
      </c>
      <c r="J63" s="41">
        <v>0.15189388773224793</v>
      </c>
    </row>
  </sheetData>
  <phoneticPr fontId="2"/>
  <pageMargins left="0.7" right="0.7" top="0.75" bottom="0.75" header="0.3" footer="0.3"/>
  <pageSetup paperSize="9" scale="87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B9059-80A5-45E0-BD86-007494EA056A}">
  <sheetPr>
    <pageSetUpPr fitToPage="1"/>
  </sheetPr>
  <dimension ref="A1:J63"/>
  <sheetViews>
    <sheetView workbookViewId="0"/>
  </sheetViews>
  <sheetFormatPr defaultRowHeight="13" x14ac:dyDescent="0.2"/>
  <cols>
    <col min="1" max="1" width="15.81640625" style="33" customWidth="1"/>
    <col min="2" max="2" width="7.36328125" style="7" customWidth="1"/>
    <col min="3" max="3" width="11" style="7" bestFit="1" customWidth="1"/>
    <col min="4" max="4" width="7.54296875" style="7" customWidth="1"/>
    <col min="5" max="5" width="12.08984375" style="7" bestFit="1" customWidth="1"/>
    <col min="6" max="6" width="6" style="7" customWidth="1"/>
    <col min="7" max="8" width="12.08984375" style="7" bestFit="1" customWidth="1"/>
    <col min="9" max="9" width="11" style="7" bestFit="1" customWidth="1"/>
    <col min="10" max="10" width="6.90625" style="8" customWidth="1"/>
  </cols>
  <sheetData>
    <row r="1" spans="1:10" x14ac:dyDescent="0.2">
      <c r="A1" s="33" t="s">
        <v>0</v>
      </c>
      <c r="B1" s="6" t="s">
        <v>151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>
        <v>59</v>
      </c>
      <c r="C5" s="24">
        <v>51610000</v>
      </c>
      <c r="D5" s="24">
        <v>86</v>
      </c>
      <c r="E5" s="24">
        <v>57816299</v>
      </c>
      <c r="F5" s="24">
        <v>161</v>
      </c>
      <c r="G5" s="24">
        <v>85807719</v>
      </c>
      <c r="H5" s="24">
        <v>83654417</v>
      </c>
      <c r="I5" s="24">
        <v>14229823</v>
      </c>
      <c r="J5" s="38">
        <v>0.1701</v>
      </c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59</v>
      </c>
      <c r="C17" s="25">
        <v>51610000</v>
      </c>
      <c r="D17" s="25">
        <v>86</v>
      </c>
      <c r="E17" s="25">
        <v>57816299</v>
      </c>
      <c r="F17" s="25">
        <v>161</v>
      </c>
      <c r="G17" s="25">
        <v>85807719</v>
      </c>
      <c r="H17" s="25">
        <v>83654417</v>
      </c>
      <c r="I17" s="25">
        <v>14229823</v>
      </c>
      <c r="J17" s="39">
        <v>0.1701</v>
      </c>
    </row>
    <row r="18" spans="1:10" x14ac:dyDescent="0.2">
      <c r="A18" s="35" t="s">
        <v>90</v>
      </c>
      <c r="B18" s="24">
        <v>395</v>
      </c>
      <c r="C18" s="24">
        <v>61154602</v>
      </c>
      <c r="D18" s="24">
        <v>184</v>
      </c>
      <c r="E18" s="24">
        <v>43361282</v>
      </c>
      <c r="F18" s="24">
        <v>472</v>
      </c>
      <c r="G18" s="24">
        <v>63350053</v>
      </c>
      <c r="H18" s="24">
        <v>51723389</v>
      </c>
      <c r="I18" s="24">
        <v>9290556</v>
      </c>
      <c r="J18" s="38">
        <v>0.17960000000000001</v>
      </c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68</v>
      </c>
      <c r="C25" s="24">
        <v>83228940</v>
      </c>
      <c r="D25" s="24">
        <v>87</v>
      </c>
      <c r="E25" s="24">
        <v>101413716</v>
      </c>
      <c r="F25" s="24">
        <v>188</v>
      </c>
      <c r="G25" s="24">
        <v>125603272</v>
      </c>
      <c r="H25" s="24">
        <v>131733921</v>
      </c>
      <c r="I25" s="24">
        <v>17212534</v>
      </c>
      <c r="J25" s="38">
        <v>0.13059999999999999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463</v>
      </c>
      <c r="C31" s="25">
        <v>144383542</v>
      </c>
      <c r="D31" s="25">
        <v>271</v>
      </c>
      <c r="E31" s="25">
        <v>144774998</v>
      </c>
      <c r="F31" s="25">
        <v>660</v>
      </c>
      <c r="G31" s="25">
        <v>188953325</v>
      </c>
      <c r="H31" s="25">
        <v>183457310</v>
      </c>
      <c r="I31" s="25">
        <v>26503090</v>
      </c>
      <c r="J31" s="39">
        <v>0.15510000000000002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>
        <v>16</v>
      </c>
      <c r="C36" s="24">
        <v>25750000</v>
      </c>
      <c r="D36" s="24">
        <v>21</v>
      </c>
      <c r="E36" s="24">
        <v>126037419</v>
      </c>
      <c r="F36" s="24">
        <v>70</v>
      </c>
      <c r="G36" s="24">
        <v>117429368</v>
      </c>
      <c r="H36" s="24">
        <v>146959737</v>
      </c>
      <c r="I36" s="24">
        <v>27735308</v>
      </c>
      <c r="J36" s="38">
        <v>0.18870000000000001</v>
      </c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16</v>
      </c>
      <c r="C38" s="25">
        <v>25750000</v>
      </c>
      <c r="D38" s="25">
        <v>21</v>
      </c>
      <c r="E38" s="25">
        <v>126037419</v>
      </c>
      <c r="F38" s="25">
        <v>70</v>
      </c>
      <c r="G38" s="25">
        <v>117429368</v>
      </c>
      <c r="H38" s="25">
        <v>146959737</v>
      </c>
      <c r="I38" s="25">
        <v>27735308</v>
      </c>
      <c r="J38" s="39">
        <v>0.18870000000000001</v>
      </c>
    </row>
    <row r="39" spans="1:10" ht="24" x14ac:dyDescent="0.2">
      <c r="A39" s="35" t="s">
        <v>87</v>
      </c>
      <c r="B39" s="24">
        <v>169</v>
      </c>
      <c r="C39" s="24">
        <v>88214000</v>
      </c>
      <c r="D39" s="24">
        <v>101</v>
      </c>
      <c r="E39" s="24">
        <v>44562440</v>
      </c>
      <c r="F39" s="24">
        <v>214</v>
      </c>
      <c r="G39" s="24">
        <v>93896006</v>
      </c>
      <c r="H39" s="24">
        <v>66067877</v>
      </c>
      <c r="I39" s="24">
        <v>9334273</v>
      </c>
      <c r="J39" s="38">
        <v>0.14119999999999999</v>
      </c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169</v>
      </c>
      <c r="C47" s="25">
        <v>88214000</v>
      </c>
      <c r="D47" s="25">
        <v>101</v>
      </c>
      <c r="E47" s="25">
        <v>44562440</v>
      </c>
      <c r="F47" s="25">
        <v>214</v>
      </c>
      <c r="G47" s="25">
        <v>93896006</v>
      </c>
      <c r="H47" s="25">
        <v>66067877</v>
      </c>
      <c r="I47" s="25">
        <v>9334273</v>
      </c>
      <c r="J47" s="39">
        <v>0.14119999999999999</v>
      </c>
    </row>
    <row r="48" spans="1:10" x14ac:dyDescent="0.2">
      <c r="A48" s="35" t="s">
        <v>58</v>
      </c>
      <c r="B48" s="24"/>
      <c r="C48" s="24"/>
      <c r="D48" s="24"/>
      <c r="E48" s="24"/>
      <c r="F48" s="24"/>
      <c r="G48" s="24"/>
      <c r="H48" s="24"/>
      <c r="I48" s="24"/>
      <c r="J48" s="38"/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>
        <v>2929</v>
      </c>
      <c r="C50" s="24">
        <v>66732840</v>
      </c>
      <c r="D50" s="24">
        <v>2909</v>
      </c>
      <c r="E50" s="24">
        <v>70754250</v>
      </c>
      <c r="F50" s="24">
        <v>2854</v>
      </c>
      <c r="G50" s="24">
        <v>32295420</v>
      </c>
      <c r="H50" s="24">
        <v>31623670</v>
      </c>
      <c r="I50" s="24">
        <v>3210340</v>
      </c>
      <c r="J50" s="38">
        <v>0.10150000000000001</v>
      </c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2929</v>
      </c>
      <c r="C52" s="25">
        <v>66732840</v>
      </c>
      <c r="D52" s="25">
        <v>2909</v>
      </c>
      <c r="E52" s="25">
        <v>70754250</v>
      </c>
      <c r="F52" s="25">
        <v>2854</v>
      </c>
      <c r="G52" s="25">
        <v>32295420</v>
      </c>
      <c r="H52" s="25">
        <v>31623670</v>
      </c>
      <c r="I52" s="25">
        <v>3210340</v>
      </c>
      <c r="J52" s="39">
        <v>0.10150000000000001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>
        <v>17</v>
      </c>
      <c r="C61" s="24">
        <v>15260000</v>
      </c>
      <c r="D61" s="24">
        <v>8</v>
      </c>
      <c r="E61" s="24">
        <v>10248635</v>
      </c>
      <c r="F61" s="24">
        <v>30</v>
      </c>
      <c r="G61" s="24">
        <v>29735946</v>
      </c>
      <c r="H61" s="24">
        <v>27098330</v>
      </c>
      <c r="I61" s="24">
        <v>1927819</v>
      </c>
      <c r="J61" s="38">
        <v>7.1099999999999997E-2</v>
      </c>
    </row>
    <row r="62" spans="1:10" x14ac:dyDescent="0.2">
      <c r="A62" s="36" t="s">
        <v>73</v>
      </c>
      <c r="B62" s="25">
        <v>17</v>
      </c>
      <c r="C62" s="25">
        <v>15260000</v>
      </c>
      <c r="D62" s="25">
        <v>8</v>
      </c>
      <c r="E62" s="25">
        <v>10248635</v>
      </c>
      <c r="F62" s="25">
        <v>30</v>
      </c>
      <c r="G62" s="25">
        <v>29735946</v>
      </c>
      <c r="H62" s="25">
        <v>27098330</v>
      </c>
      <c r="I62" s="25">
        <v>1927819</v>
      </c>
      <c r="J62" s="39">
        <v>7.1099999999999997E-2</v>
      </c>
    </row>
    <row r="63" spans="1:10" ht="13.5" thickBot="1" x14ac:dyDescent="0.25">
      <c r="A63" s="37" t="s">
        <v>61</v>
      </c>
      <c r="B63" s="40">
        <v>3653</v>
      </c>
      <c r="C63" s="40">
        <v>391950382</v>
      </c>
      <c r="D63" s="40">
        <v>3396</v>
      </c>
      <c r="E63" s="40">
        <v>454194041</v>
      </c>
      <c r="F63" s="40">
        <v>3989</v>
      </c>
      <c r="G63" s="40">
        <v>548117784</v>
      </c>
      <c r="H63" s="40">
        <v>538861341</v>
      </c>
      <c r="I63" s="40">
        <v>82940653</v>
      </c>
      <c r="J63" s="41">
        <v>0.15391835837783732</v>
      </c>
    </row>
  </sheetData>
  <phoneticPr fontId="2"/>
  <pageMargins left="0.7" right="0.7" top="0.75" bottom="0.75" header="0.3" footer="0.3"/>
  <pageSetup paperSize="9" scale="86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0FF0C-8EE5-476D-82DE-97C0E81C72D0}">
  <sheetPr>
    <pageSetUpPr fitToPage="1"/>
  </sheetPr>
  <dimension ref="A1:J63"/>
  <sheetViews>
    <sheetView workbookViewId="0"/>
  </sheetViews>
  <sheetFormatPr defaultRowHeight="13" x14ac:dyDescent="0.2"/>
  <cols>
    <col min="1" max="1" width="15.81640625" style="33" customWidth="1"/>
    <col min="2" max="2" width="7.1796875" style="7" customWidth="1"/>
    <col min="3" max="3" width="12.08984375" style="7" bestFit="1" customWidth="1"/>
    <col min="4" max="4" width="6.36328125" style="7" customWidth="1"/>
    <col min="5" max="5" width="11" style="7" bestFit="1" customWidth="1"/>
    <col min="6" max="6" width="7.26953125" style="7" customWidth="1"/>
    <col min="7" max="8" width="12.08984375" style="7" bestFit="1" customWidth="1"/>
    <col min="9" max="9" width="11" style="7" bestFit="1" customWidth="1"/>
    <col min="10" max="10" width="6.81640625" style="8" customWidth="1"/>
  </cols>
  <sheetData>
    <row r="1" spans="1:10" x14ac:dyDescent="0.2">
      <c r="A1" s="33" t="s">
        <v>0</v>
      </c>
      <c r="B1" s="6" t="s">
        <v>152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>
        <v>49</v>
      </c>
      <c r="C5" s="24">
        <v>42955000</v>
      </c>
      <c r="D5" s="24">
        <v>79</v>
      </c>
      <c r="E5" s="24">
        <v>50829625</v>
      </c>
      <c r="F5" s="24">
        <v>131</v>
      </c>
      <c r="G5" s="24">
        <v>77933094</v>
      </c>
      <c r="H5" s="24">
        <v>86188227</v>
      </c>
      <c r="I5" s="24">
        <v>13191004</v>
      </c>
      <c r="J5" s="38">
        <v>0.153</v>
      </c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49</v>
      </c>
      <c r="C17" s="25">
        <v>42955000</v>
      </c>
      <c r="D17" s="25">
        <v>79</v>
      </c>
      <c r="E17" s="25">
        <v>50829625</v>
      </c>
      <c r="F17" s="25">
        <v>131</v>
      </c>
      <c r="G17" s="25">
        <v>77933094</v>
      </c>
      <c r="H17" s="25">
        <v>86188227</v>
      </c>
      <c r="I17" s="25">
        <v>13191004</v>
      </c>
      <c r="J17" s="39">
        <v>0.153</v>
      </c>
    </row>
    <row r="18" spans="1:10" x14ac:dyDescent="0.2">
      <c r="A18" s="35" t="s">
        <v>90</v>
      </c>
      <c r="B18" s="24">
        <v>3141</v>
      </c>
      <c r="C18" s="24">
        <v>113875457</v>
      </c>
      <c r="D18" s="24">
        <v>2744</v>
      </c>
      <c r="E18" s="24">
        <v>86749291</v>
      </c>
      <c r="F18" s="24">
        <v>869</v>
      </c>
      <c r="G18" s="24">
        <v>90476219</v>
      </c>
      <c r="H18" s="24">
        <v>77094203</v>
      </c>
      <c r="I18" s="24">
        <v>12213345</v>
      </c>
      <c r="J18" s="38">
        <v>0.15840000000000001</v>
      </c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88</v>
      </c>
      <c r="C25" s="24">
        <v>102646520</v>
      </c>
      <c r="D25" s="24">
        <v>93</v>
      </c>
      <c r="E25" s="24">
        <v>83511467</v>
      </c>
      <c r="F25" s="24">
        <v>183</v>
      </c>
      <c r="G25" s="24">
        <v>144738325</v>
      </c>
      <c r="H25" s="24">
        <v>130494634</v>
      </c>
      <c r="I25" s="24">
        <v>18482379</v>
      </c>
      <c r="J25" s="38">
        <v>0.1416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3229</v>
      </c>
      <c r="C31" s="25">
        <v>216521977</v>
      </c>
      <c r="D31" s="25">
        <v>2837</v>
      </c>
      <c r="E31" s="25">
        <v>170260758</v>
      </c>
      <c r="F31" s="25">
        <v>1052</v>
      </c>
      <c r="G31" s="25">
        <v>235214544</v>
      </c>
      <c r="H31" s="25">
        <v>207588837</v>
      </c>
      <c r="I31" s="25">
        <v>30695724</v>
      </c>
      <c r="J31" s="39">
        <v>0.15000000000000002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>
        <v>30</v>
      </c>
      <c r="C36" s="24">
        <v>97646000</v>
      </c>
      <c r="D36" s="24">
        <v>28</v>
      </c>
      <c r="E36" s="24">
        <v>83496545</v>
      </c>
      <c r="F36" s="24">
        <v>72</v>
      </c>
      <c r="G36" s="24">
        <v>131578823</v>
      </c>
      <c r="H36" s="24">
        <v>128691106</v>
      </c>
      <c r="I36" s="24">
        <v>17892672</v>
      </c>
      <c r="J36" s="38">
        <v>0.13900000000000001</v>
      </c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30</v>
      </c>
      <c r="C38" s="25">
        <v>97646000</v>
      </c>
      <c r="D38" s="25">
        <v>28</v>
      </c>
      <c r="E38" s="25">
        <v>83496545</v>
      </c>
      <c r="F38" s="25">
        <v>72</v>
      </c>
      <c r="G38" s="25">
        <v>131578823</v>
      </c>
      <c r="H38" s="25">
        <v>128691106</v>
      </c>
      <c r="I38" s="25">
        <v>17892672</v>
      </c>
      <c r="J38" s="39">
        <v>0.13900000000000001</v>
      </c>
    </row>
    <row r="39" spans="1:10" ht="24" x14ac:dyDescent="0.2">
      <c r="A39" s="35" t="s">
        <v>87</v>
      </c>
      <c r="B39" s="24">
        <v>180</v>
      </c>
      <c r="C39" s="24">
        <v>118396898</v>
      </c>
      <c r="D39" s="24">
        <v>126</v>
      </c>
      <c r="E39" s="24">
        <v>78805292</v>
      </c>
      <c r="F39" s="24">
        <v>268</v>
      </c>
      <c r="G39" s="24">
        <v>133487612</v>
      </c>
      <c r="H39" s="24">
        <v>104077450</v>
      </c>
      <c r="I39" s="24">
        <v>14524639</v>
      </c>
      <c r="J39" s="38">
        <v>0.1396</v>
      </c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180</v>
      </c>
      <c r="C47" s="25">
        <v>118396898</v>
      </c>
      <c r="D47" s="25">
        <v>126</v>
      </c>
      <c r="E47" s="25">
        <v>78805292</v>
      </c>
      <c r="F47" s="25">
        <v>268</v>
      </c>
      <c r="G47" s="25">
        <v>133487612</v>
      </c>
      <c r="H47" s="25">
        <v>104077450</v>
      </c>
      <c r="I47" s="25">
        <v>14524639</v>
      </c>
      <c r="J47" s="39">
        <v>0.1396</v>
      </c>
    </row>
    <row r="48" spans="1:10" x14ac:dyDescent="0.2">
      <c r="A48" s="35" t="s">
        <v>58</v>
      </c>
      <c r="B48" s="24">
        <v>543</v>
      </c>
      <c r="C48" s="24">
        <v>334147309</v>
      </c>
      <c r="D48" s="24">
        <v>209</v>
      </c>
      <c r="E48" s="24">
        <v>30589957</v>
      </c>
      <c r="F48" s="24">
        <v>334</v>
      </c>
      <c r="G48" s="24">
        <v>303557352</v>
      </c>
      <c r="H48" s="24">
        <v>305121894</v>
      </c>
      <c r="I48" s="24">
        <v>9127177</v>
      </c>
      <c r="J48" s="38">
        <v>2.9899999999999999E-2</v>
      </c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>
        <v>2847</v>
      </c>
      <c r="C50" s="24">
        <v>75982320</v>
      </c>
      <c r="D50" s="24">
        <v>2963</v>
      </c>
      <c r="E50" s="24">
        <v>69056840</v>
      </c>
      <c r="F50" s="24">
        <v>2956</v>
      </c>
      <c r="G50" s="24">
        <v>39220900</v>
      </c>
      <c r="H50" s="24">
        <v>32707331</v>
      </c>
      <c r="I50" s="24">
        <v>5782890</v>
      </c>
      <c r="J50" s="38">
        <v>0.17680000000000001</v>
      </c>
    </row>
    <row r="51" spans="1:10" x14ac:dyDescent="0.2">
      <c r="A51" s="35" t="s">
        <v>79</v>
      </c>
      <c r="B51" s="24">
        <v>31</v>
      </c>
      <c r="C51" s="24">
        <v>23261766</v>
      </c>
      <c r="D51" s="24">
        <v>12</v>
      </c>
      <c r="E51" s="24">
        <v>9831267</v>
      </c>
      <c r="F51" s="24">
        <v>19</v>
      </c>
      <c r="G51" s="24">
        <v>13430499</v>
      </c>
      <c r="H51" s="24">
        <v>12409113</v>
      </c>
      <c r="I51" s="24">
        <v>1311951</v>
      </c>
      <c r="J51" s="38">
        <v>0.1057</v>
      </c>
    </row>
    <row r="52" spans="1:10" x14ac:dyDescent="0.2">
      <c r="A52" s="36" t="s">
        <v>73</v>
      </c>
      <c r="B52" s="25">
        <v>3421</v>
      </c>
      <c r="C52" s="25">
        <v>433391395</v>
      </c>
      <c r="D52" s="25">
        <v>3184</v>
      </c>
      <c r="E52" s="25">
        <v>109478064</v>
      </c>
      <c r="F52" s="25">
        <v>3309</v>
      </c>
      <c r="G52" s="25">
        <v>356208751</v>
      </c>
      <c r="H52" s="25">
        <v>350238338</v>
      </c>
      <c r="I52" s="25">
        <v>16222018</v>
      </c>
      <c r="J52" s="39">
        <v>0.10413333333333334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>
        <v>42</v>
      </c>
      <c r="C61" s="24">
        <v>30899229</v>
      </c>
      <c r="D61" s="24">
        <v>10</v>
      </c>
      <c r="E61" s="24">
        <v>17796258</v>
      </c>
      <c r="F61" s="24">
        <v>55</v>
      </c>
      <c r="G61" s="24">
        <v>42838977</v>
      </c>
      <c r="H61" s="24">
        <v>35180338</v>
      </c>
      <c r="I61" s="24">
        <v>2683860</v>
      </c>
      <c r="J61" s="38">
        <v>7.6300000000000007E-2</v>
      </c>
    </row>
    <row r="62" spans="1:10" x14ac:dyDescent="0.2">
      <c r="A62" s="36" t="s">
        <v>73</v>
      </c>
      <c r="B62" s="25">
        <v>42</v>
      </c>
      <c r="C62" s="25">
        <v>30899229</v>
      </c>
      <c r="D62" s="25">
        <v>10</v>
      </c>
      <c r="E62" s="25">
        <v>17796258</v>
      </c>
      <c r="F62" s="25">
        <v>55</v>
      </c>
      <c r="G62" s="25">
        <v>42838977</v>
      </c>
      <c r="H62" s="25">
        <v>35180338</v>
      </c>
      <c r="I62" s="25">
        <v>2683860</v>
      </c>
      <c r="J62" s="39">
        <v>7.6300000000000007E-2</v>
      </c>
    </row>
    <row r="63" spans="1:10" ht="13.5" thickBot="1" x14ac:dyDescent="0.25">
      <c r="A63" s="37" t="s">
        <v>61</v>
      </c>
      <c r="B63" s="40">
        <v>6951</v>
      </c>
      <c r="C63" s="40">
        <v>939810499</v>
      </c>
      <c r="D63" s="40">
        <v>6264</v>
      </c>
      <c r="E63" s="40">
        <v>510666542</v>
      </c>
      <c r="F63" s="40">
        <v>4887</v>
      </c>
      <c r="G63" s="40">
        <v>977261801</v>
      </c>
      <c r="H63" s="40">
        <v>911964296</v>
      </c>
      <c r="I63" s="40">
        <v>95209917</v>
      </c>
      <c r="J63" s="41">
        <v>0.10440092602046341</v>
      </c>
    </row>
  </sheetData>
  <phoneticPr fontId="2"/>
  <pageMargins left="0.7" right="0.7" top="0.75" bottom="0.75" header="0.3" footer="0.3"/>
  <pageSetup paperSize="9" scale="87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83D4-705F-4DC1-9116-0F1B0810E873}">
  <sheetPr>
    <pageSetUpPr fitToPage="1"/>
  </sheetPr>
  <dimension ref="A1:J63"/>
  <sheetViews>
    <sheetView workbookViewId="0"/>
  </sheetViews>
  <sheetFormatPr defaultRowHeight="13" x14ac:dyDescent="0.2"/>
  <cols>
    <col min="1" max="1" width="15.81640625" style="33" customWidth="1"/>
    <col min="2" max="2" width="6.6328125" style="7" customWidth="1"/>
    <col min="3" max="3" width="12.08984375" style="7" bestFit="1" customWidth="1"/>
    <col min="4" max="4" width="7.26953125" style="7" customWidth="1"/>
    <col min="5" max="5" width="12.08984375" style="7" bestFit="1" customWidth="1"/>
    <col min="6" max="6" width="6.453125" style="7" customWidth="1"/>
    <col min="7" max="8" width="12.90625" style="7" customWidth="1"/>
    <col min="9" max="9" width="10.7265625" style="7" customWidth="1"/>
    <col min="10" max="10" width="5.90625" style="8" customWidth="1"/>
  </cols>
  <sheetData>
    <row r="1" spans="1:10" x14ac:dyDescent="0.2">
      <c r="A1" s="33" t="s">
        <v>0</v>
      </c>
      <c r="B1" s="6" t="s">
        <v>153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>
        <v>36</v>
      </c>
      <c r="C5" s="24">
        <v>37992002</v>
      </c>
      <c r="D5" s="24">
        <v>66</v>
      </c>
      <c r="E5" s="24">
        <v>47434045</v>
      </c>
      <c r="F5" s="24">
        <v>101</v>
      </c>
      <c r="G5" s="24">
        <v>68491051</v>
      </c>
      <c r="H5" s="24">
        <v>70981628</v>
      </c>
      <c r="I5" s="24">
        <v>9777901</v>
      </c>
      <c r="J5" s="38">
        <v>0.13769999999999999</v>
      </c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36</v>
      </c>
      <c r="C17" s="25">
        <v>37992002</v>
      </c>
      <c r="D17" s="25">
        <v>66</v>
      </c>
      <c r="E17" s="25">
        <v>47434045</v>
      </c>
      <c r="F17" s="25">
        <v>101</v>
      </c>
      <c r="G17" s="25">
        <v>68491051</v>
      </c>
      <c r="H17" s="25">
        <v>70981628</v>
      </c>
      <c r="I17" s="25">
        <v>9777901</v>
      </c>
      <c r="J17" s="39">
        <v>0.13769999999999999</v>
      </c>
    </row>
    <row r="18" spans="1:10" x14ac:dyDescent="0.2">
      <c r="A18" s="35" t="s">
        <v>90</v>
      </c>
      <c r="B18" s="24">
        <v>2040</v>
      </c>
      <c r="C18" s="24">
        <v>103225611</v>
      </c>
      <c r="D18" s="24">
        <v>2251</v>
      </c>
      <c r="E18" s="24">
        <v>97872821</v>
      </c>
      <c r="F18" s="24">
        <v>658</v>
      </c>
      <c r="G18" s="24">
        <v>95829009</v>
      </c>
      <c r="H18" s="24">
        <v>86208801</v>
      </c>
      <c r="I18" s="24">
        <v>10817710</v>
      </c>
      <c r="J18" s="38">
        <v>0.12540000000000001</v>
      </c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175</v>
      </c>
      <c r="C25" s="24">
        <v>179364186</v>
      </c>
      <c r="D25" s="24">
        <v>70</v>
      </c>
      <c r="E25" s="24">
        <v>97776759</v>
      </c>
      <c r="F25" s="24">
        <v>288</v>
      </c>
      <c r="G25" s="24">
        <v>226325752</v>
      </c>
      <c r="H25" s="24">
        <v>184738825</v>
      </c>
      <c r="I25" s="24">
        <v>25749418</v>
      </c>
      <c r="J25" s="38">
        <v>0.13930000000000001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2215</v>
      </c>
      <c r="C31" s="25">
        <v>282589797</v>
      </c>
      <c r="D31" s="25">
        <v>2321</v>
      </c>
      <c r="E31" s="25">
        <v>195649580</v>
      </c>
      <c r="F31" s="25">
        <v>946</v>
      </c>
      <c r="G31" s="25">
        <v>322154761</v>
      </c>
      <c r="H31" s="25">
        <v>270947626</v>
      </c>
      <c r="I31" s="25">
        <v>36567128</v>
      </c>
      <c r="J31" s="39">
        <v>0.13235000000000002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>
        <v>17</v>
      </c>
      <c r="C36" s="24">
        <v>57400000</v>
      </c>
      <c r="D36" s="24">
        <v>23</v>
      </c>
      <c r="E36" s="24">
        <v>75996783</v>
      </c>
      <c r="F36" s="24">
        <v>66</v>
      </c>
      <c r="G36" s="24">
        <v>112982040</v>
      </c>
      <c r="H36" s="24">
        <v>116995386</v>
      </c>
      <c r="I36" s="24">
        <v>14745615</v>
      </c>
      <c r="J36" s="38">
        <v>0.126</v>
      </c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17</v>
      </c>
      <c r="C38" s="25">
        <v>57400000</v>
      </c>
      <c r="D38" s="25">
        <v>23</v>
      </c>
      <c r="E38" s="25">
        <v>75996783</v>
      </c>
      <c r="F38" s="25">
        <v>66</v>
      </c>
      <c r="G38" s="25">
        <v>112982040</v>
      </c>
      <c r="H38" s="25">
        <v>116995386</v>
      </c>
      <c r="I38" s="25">
        <v>14745615</v>
      </c>
      <c r="J38" s="39">
        <v>0.126</v>
      </c>
    </row>
    <row r="39" spans="1:10" ht="24" x14ac:dyDescent="0.2">
      <c r="A39" s="35" t="s">
        <v>87</v>
      </c>
      <c r="B39" s="24">
        <v>279</v>
      </c>
      <c r="C39" s="24">
        <v>235889239</v>
      </c>
      <c r="D39" s="24">
        <v>162</v>
      </c>
      <c r="E39" s="24">
        <v>121430528</v>
      </c>
      <c r="F39" s="24">
        <v>385</v>
      </c>
      <c r="G39" s="24">
        <v>247946323</v>
      </c>
      <c r="H39" s="24">
        <v>182390479</v>
      </c>
      <c r="I39" s="24">
        <v>25857666</v>
      </c>
      <c r="J39" s="38">
        <v>0.14169999999999999</v>
      </c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279</v>
      </c>
      <c r="C47" s="25">
        <v>235889239</v>
      </c>
      <c r="D47" s="25">
        <v>162</v>
      </c>
      <c r="E47" s="25">
        <v>121430528</v>
      </c>
      <c r="F47" s="25">
        <v>385</v>
      </c>
      <c r="G47" s="25">
        <v>247946323</v>
      </c>
      <c r="H47" s="25">
        <v>182390479</v>
      </c>
      <c r="I47" s="25">
        <v>25857666</v>
      </c>
      <c r="J47" s="39">
        <v>0.14169999999999999</v>
      </c>
    </row>
    <row r="48" spans="1:10" x14ac:dyDescent="0.2">
      <c r="A48" s="35" t="s">
        <v>58</v>
      </c>
      <c r="B48" s="24">
        <v>87</v>
      </c>
      <c r="C48" s="24">
        <v>107050000</v>
      </c>
      <c r="D48" s="24">
        <v>113</v>
      </c>
      <c r="E48" s="24">
        <v>108548708</v>
      </c>
      <c r="F48" s="24">
        <v>308</v>
      </c>
      <c r="G48" s="24">
        <v>302058644</v>
      </c>
      <c r="H48" s="24">
        <v>278352802</v>
      </c>
      <c r="I48" s="24">
        <v>21782814</v>
      </c>
      <c r="J48" s="38">
        <v>7.8200000000000006E-2</v>
      </c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>
        <v>2677</v>
      </c>
      <c r="C50" s="24">
        <v>75913080</v>
      </c>
      <c r="D50" s="24">
        <v>3081</v>
      </c>
      <c r="E50" s="24">
        <v>80710960</v>
      </c>
      <c r="F50" s="24">
        <v>2552</v>
      </c>
      <c r="G50" s="24">
        <v>34423020</v>
      </c>
      <c r="H50" s="24">
        <v>35269431</v>
      </c>
      <c r="I50" s="24">
        <v>8022180</v>
      </c>
      <c r="J50" s="38">
        <v>0.22739999999999999</v>
      </c>
    </row>
    <row r="51" spans="1:10" x14ac:dyDescent="0.2">
      <c r="A51" s="35" t="s">
        <v>79</v>
      </c>
      <c r="B51" s="24">
        <v>12</v>
      </c>
      <c r="C51" s="24">
        <v>7008887</v>
      </c>
      <c r="D51" s="24">
        <v>17</v>
      </c>
      <c r="E51" s="24">
        <v>9042310</v>
      </c>
      <c r="F51" s="24">
        <v>14</v>
      </c>
      <c r="G51" s="24">
        <v>11397076</v>
      </c>
      <c r="H51" s="24">
        <v>11368574</v>
      </c>
      <c r="I51" s="24">
        <v>1156687</v>
      </c>
      <c r="J51" s="38">
        <v>0.1017</v>
      </c>
    </row>
    <row r="52" spans="1:10" x14ac:dyDescent="0.2">
      <c r="A52" s="36" t="s">
        <v>73</v>
      </c>
      <c r="B52" s="25">
        <v>2776</v>
      </c>
      <c r="C52" s="25">
        <v>189971967</v>
      </c>
      <c r="D52" s="25">
        <v>3211</v>
      </c>
      <c r="E52" s="25">
        <v>198301978</v>
      </c>
      <c r="F52" s="25">
        <v>2874</v>
      </c>
      <c r="G52" s="25">
        <v>347878740</v>
      </c>
      <c r="H52" s="25">
        <v>324990807</v>
      </c>
      <c r="I52" s="25">
        <v>30961681</v>
      </c>
      <c r="J52" s="39">
        <v>0.13576666666666667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>
        <v>44</v>
      </c>
      <c r="C61" s="24">
        <v>40733707</v>
      </c>
      <c r="D61" s="24">
        <v>45</v>
      </c>
      <c r="E61" s="24">
        <v>34950306</v>
      </c>
      <c r="F61" s="24">
        <v>54</v>
      </c>
      <c r="G61" s="24">
        <v>48622378</v>
      </c>
      <c r="H61" s="24">
        <v>45371245</v>
      </c>
      <c r="I61" s="24">
        <v>3666357</v>
      </c>
      <c r="J61" s="38">
        <v>8.0799999999999997E-2</v>
      </c>
    </row>
    <row r="62" spans="1:10" x14ac:dyDescent="0.2">
      <c r="A62" s="36" t="s">
        <v>73</v>
      </c>
      <c r="B62" s="25">
        <v>44</v>
      </c>
      <c r="C62" s="25">
        <v>40733707</v>
      </c>
      <c r="D62" s="25">
        <v>45</v>
      </c>
      <c r="E62" s="25">
        <v>34950306</v>
      </c>
      <c r="F62" s="25">
        <v>54</v>
      </c>
      <c r="G62" s="25">
        <v>48622378</v>
      </c>
      <c r="H62" s="25">
        <v>45371245</v>
      </c>
      <c r="I62" s="25">
        <v>3666357</v>
      </c>
      <c r="J62" s="39">
        <v>8.0799999999999997E-2</v>
      </c>
    </row>
    <row r="63" spans="1:10" ht="13.5" thickBot="1" x14ac:dyDescent="0.25">
      <c r="A63" s="37" t="s">
        <v>61</v>
      </c>
      <c r="B63" s="40">
        <v>5367</v>
      </c>
      <c r="C63" s="40">
        <v>844576712</v>
      </c>
      <c r="D63" s="40">
        <v>5828</v>
      </c>
      <c r="E63" s="40">
        <v>673763220</v>
      </c>
      <c r="F63" s="40">
        <v>4426</v>
      </c>
      <c r="G63" s="40">
        <v>1148075293</v>
      </c>
      <c r="H63" s="40">
        <v>1011677171</v>
      </c>
      <c r="I63" s="40">
        <v>121576348</v>
      </c>
      <c r="J63" s="41">
        <v>0.12017306655227471</v>
      </c>
    </row>
  </sheetData>
  <phoneticPr fontId="2"/>
  <pageMargins left="0.7" right="0.7" top="0.75" bottom="0.75" header="0.3" footer="0.3"/>
  <pageSetup paperSize="9" scale="87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C9985-360D-40F9-B464-6699EA698575}">
  <sheetPr>
    <pageSetUpPr fitToPage="1"/>
  </sheetPr>
  <dimension ref="A1:J63"/>
  <sheetViews>
    <sheetView workbookViewId="0"/>
  </sheetViews>
  <sheetFormatPr defaultRowHeight="13" x14ac:dyDescent="0.2"/>
  <cols>
    <col min="1" max="1" width="15.81640625" style="33" customWidth="1"/>
    <col min="2" max="2" width="6.54296875" style="7" customWidth="1"/>
    <col min="3" max="3" width="12.08984375" style="7" bestFit="1" customWidth="1"/>
    <col min="4" max="4" width="6.6328125" style="7" customWidth="1"/>
    <col min="5" max="5" width="12.08984375" style="7" bestFit="1" customWidth="1"/>
    <col min="6" max="6" width="9.08984375" style="7"/>
    <col min="7" max="7" width="13.26953125" style="7" customWidth="1"/>
    <col min="8" max="8" width="13.7265625" style="7" customWidth="1"/>
    <col min="9" max="9" width="11" style="7" bestFit="1" customWidth="1"/>
    <col min="10" max="10" width="5.81640625" style="8" customWidth="1"/>
  </cols>
  <sheetData>
    <row r="1" spans="1:10" x14ac:dyDescent="0.2">
      <c r="A1" s="33" t="s">
        <v>0</v>
      </c>
      <c r="B1" s="6" t="s">
        <v>154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>
        <v>60</v>
      </c>
      <c r="C5" s="24">
        <v>103316222</v>
      </c>
      <c r="D5" s="24">
        <v>36</v>
      </c>
      <c r="E5" s="24">
        <v>41282471</v>
      </c>
      <c r="F5" s="24">
        <v>125</v>
      </c>
      <c r="G5" s="24">
        <v>130543802</v>
      </c>
      <c r="H5" s="24">
        <v>98007841</v>
      </c>
      <c r="I5" s="24">
        <v>13274633</v>
      </c>
      <c r="J5" s="38">
        <v>0.13539999999999999</v>
      </c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60</v>
      </c>
      <c r="C17" s="25">
        <v>103316222</v>
      </c>
      <c r="D17" s="25">
        <v>36</v>
      </c>
      <c r="E17" s="25">
        <v>41282471</v>
      </c>
      <c r="F17" s="25">
        <v>125</v>
      </c>
      <c r="G17" s="25">
        <v>130543802</v>
      </c>
      <c r="H17" s="25">
        <v>98007841</v>
      </c>
      <c r="I17" s="25">
        <v>13274633</v>
      </c>
      <c r="J17" s="39">
        <v>0.13539999999999999</v>
      </c>
    </row>
    <row r="18" spans="1:10" x14ac:dyDescent="0.2">
      <c r="A18" s="35" t="s">
        <v>90</v>
      </c>
      <c r="B18" s="24">
        <v>2993</v>
      </c>
      <c r="C18" s="24">
        <v>163199099</v>
      </c>
      <c r="D18" s="24">
        <v>2569</v>
      </c>
      <c r="E18" s="24">
        <v>120809493</v>
      </c>
      <c r="F18" s="24">
        <v>1109</v>
      </c>
      <c r="G18" s="24">
        <v>138218615</v>
      </c>
      <c r="H18" s="24">
        <v>123879938</v>
      </c>
      <c r="I18" s="24">
        <v>16943445</v>
      </c>
      <c r="J18" s="38">
        <v>0.13669999999999999</v>
      </c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133</v>
      </c>
      <c r="C25" s="24">
        <v>173894174</v>
      </c>
      <c r="D25" s="24">
        <v>101</v>
      </c>
      <c r="E25" s="24">
        <v>140643808</v>
      </c>
      <c r="F25" s="24">
        <v>320</v>
      </c>
      <c r="G25" s="24">
        <v>259576118</v>
      </c>
      <c r="H25" s="24">
        <v>253062583</v>
      </c>
      <c r="I25" s="24">
        <v>30599788</v>
      </c>
      <c r="J25" s="38">
        <v>0.12089999999999999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3126</v>
      </c>
      <c r="C31" s="25">
        <v>337093273</v>
      </c>
      <c r="D31" s="25">
        <v>2670</v>
      </c>
      <c r="E31" s="25">
        <v>261453301</v>
      </c>
      <c r="F31" s="25">
        <v>1429</v>
      </c>
      <c r="G31" s="25">
        <v>397794733</v>
      </c>
      <c r="H31" s="25">
        <v>376942521</v>
      </c>
      <c r="I31" s="25">
        <v>47543233</v>
      </c>
      <c r="J31" s="39">
        <v>0.1288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>
        <v>21</v>
      </c>
      <c r="C36" s="24">
        <v>100802883</v>
      </c>
      <c r="D36" s="24">
        <v>23</v>
      </c>
      <c r="E36" s="24">
        <v>60637911</v>
      </c>
      <c r="F36" s="24">
        <v>64</v>
      </c>
      <c r="G36" s="24">
        <v>153147012</v>
      </c>
      <c r="H36" s="24">
        <v>114464284</v>
      </c>
      <c r="I36" s="24">
        <v>14556588</v>
      </c>
      <c r="J36" s="38">
        <v>0.12709999999999999</v>
      </c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21</v>
      </c>
      <c r="C38" s="25">
        <v>100802883</v>
      </c>
      <c r="D38" s="25">
        <v>23</v>
      </c>
      <c r="E38" s="25">
        <v>60637911</v>
      </c>
      <c r="F38" s="25">
        <v>64</v>
      </c>
      <c r="G38" s="25">
        <v>153147012</v>
      </c>
      <c r="H38" s="25">
        <v>114464284</v>
      </c>
      <c r="I38" s="25">
        <v>14556588</v>
      </c>
      <c r="J38" s="39">
        <v>0.12709999999999999</v>
      </c>
    </row>
    <row r="39" spans="1:10" ht="24" x14ac:dyDescent="0.2">
      <c r="A39" s="35" t="s">
        <v>87</v>
      </c>
      <c r="B39" s="24">
        <v>186</v>
      </c>
      <c r="C39" s="24">
        <v>153086368</v>
      </c>
      <c r="D39" s="24">
        <v>193</v>
      </c>
      <c r="E39" s="24">
        <v>151887153</v>
      </c>
      <c r="F39" s="24">
        <v>378</v>
      </c>
      <c r="G39" s="24">
        <v>249162538</v>
      </c>
      <c r="H39" s="24">
        <v>255607371</v>
      </c>
      <c r="I39" s="24">
        <v>31913924</v>
      </c>
      <c r="J39" s="38">
        <v>0.1245</v>
      </c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186</v>
      </c>
      <c r="C47" s="25">
        <v>153086368</v>
      </c>
      <c r="D47" s="25">
        <v>193</v>
      </c>
      <c r="E47" s="25">
        <v>151887153</v>
      </c>
      <c r="F47" s="25">
        <v>378</v>
      </c>
      <c r="G47" s="25">
        <v>249162538</v>
      </c>
      <c r="H47" s="25">
        <v>255607371</v>
      </c>
      <c r="I47" s="25">
        <v>31913924</v>
      </c>
      <c r="J47" s="39">
        <v>0.1245</v>
      </c>
    </row>
    <row r="48" spans="1:10" x14ac:dyDescent="0.2">
      <c r="A48" s="35" t="s">
        <v>58</v>
      </c>
      <c r="B48" s="24">
        <v>69</v>
      </c>
      <c r="C48" s="24">
        <v>113810000</v>
      </c>
      <c r="D48" s="24">
        <v>93</v>
      </c>
      <c r="E48" s="24">
        <v>101573884</v>
      </c>
      <c r="F48" s="24">
        <v>284</v>
      </c>
      <c r="G48" s="24">
        <v>314294760</v>
      </c>
      <c r="H48" s="24">
        <v>307088678</v>
      </c>
      <c r="I48" s="24">
        <v>21913924</v>
      </c>
      <c r="J48" s="38">
        <v>7.1300000000000002E-2</v>
      </c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>
        <v>2471</v>
      </c>
      <c r="C50" s="24">
        <v>68720040</v>
      </c>
      <c r="D50" s="24">
        <v>2467</v>
      </c>
      <c r="E50" s="24">
        <v>69988250</v>
      </c>
      <c r="F50" s="24">
        <v>2556</v>
      </c>
      <c r="G50" s="24">
        <v>33154810</v>
      </c>
      <c r="H50" s="24">
        <v>31690054</v>
      </c>
      <c r="I50" s="24">
        <v>6910800</v>
      </c>
      <c r="J50" s="38">
        <v>0.218</v>
      </c>
    </row>
    <row r="51" spans="1:10" x14ac:dyDescent="0.2">
      <c r="A51" s="35" t="s">
        <v>79</v>
      </c>
      <c r="B51" s="24">
        <v>2</v>
      </c>
      <c r="C51" s="24">
        <v>600000</v>
      </c>
      <c r="D51" s="24">
        <v>2</v>
      </c>
      <c r="E51" s="24">
        <v>3246230</v>
      </c>
      <c r="F51" s="24">
        <v>14</v>
      </c>
      <c r="G51" s="24">
        <v>8750846</v>
      </c>
      <c r="H51" s="24">
        <v>10034196</v>
      </c>
      <c r="I51" s="24">
        <v>941926</v>
      </c>
      <c r="J51" s="38">
        <v>9.3799999999999994E-2</v>
      </c>
    </row>
    <row r="52" spans="1:10" x14ac:dyDescent="0.2">
      <c r="A52" s="36" t="s">
        <v>73</v>
      </c>
      <c r="B52" s="25">
        <v>2542</v>
      </c>
      <c r="C52" s="25">
        <v>183130040</v>
      </c>
      <c r="D52" s="25">
        <v>2562</v>
      </c>
      <c r="E52" s="25">
        <v>174808364</v>
      </c>
      <c r="F52" s="25">
        <v>2854</v>
      </c>
      <c r="G52" s="25">
        <v>356200416</v>
      </c>
      <c r="H52" s="25">
        <v>348812928</v>
      </c>
      <c r="I52" s="25">
        <v>29766650</v>
      </c>
      <c r="J52" s="39">
        <v>0.12770000000000001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>
        <v>33</v>
      </c>
      <c r="C61" s="24">
        <v>33208593</v>
      </c>
      <c r="D61" s="24">
        <v>38</v>
      </c>
      <c r="E61" s="24">
        <v>31957407</v>
      </c>
      <c r="F61" s="24">
        <v>49</v>
      </c>
      <c r="G61" s="24">
        <v>49873564</v>
      </c>
      <c r="H61" s="24">
        <v>46526447</v>
      </c>
      <c r="I61" s="24">
        <v>3781476</v>
      </c>
      <c r="J61" s="38">
        <v>8.1199999999999994E-2</v>
      </c>
    </row>
    <row r="62" spans="1:10" x14ac:dyDescent="0.2">
      <c r="A62" s="36" t="s">
        <v>73</v>
      </c>
      <c r="B62" s="25">
        <v>33</v>
      </c>
      <c r="C62" s="25">
        <v>33208593</v>
      </c>
      <c r="D62" s="25">
        <v>38</v>
      </c>
      <c r="E62" s="25">
        <v>31957407</v>
      </c>
      <c r="F62" s="25">
        <v>49</v>
      </c>
      <c r="G62" s="25">
        <v>49873564</v>
      </c>
      <c r="H62" s="25">
        <v>46526447</v>
      </c>
      <c r="I62" s="25">
        <v>3781476</v>
      </c>
      <c r="J62" s="39">
        <v>8.1199999999999994E-2</v>
      </c>
    </row>
    <row r="63" spans="1:10" ht="13.5" thickBot="1" x14ac:dyDescent="0.25">
      <c r="A63" s="37" t="s">
        <v>61</v>
      </c>
      <c r="B63" s="40">
        <v>5968</v>
      </c>
      <c r="C63" s="40">
        <v>910637379</v>
      </c>
      <c r="D63" s="40">
        <v>5522</v>
      </c>
      <c r="E63" s="40">
        <v>722026607</v>
      </c>
      <c r="F63" s="40">
        <v>4899</v>
      </c>
      <c r="G63" s="40">
        <v>1336722065</v>
      </c>
      <c r="H63" s="40">
        <v>1240361392</v>
      </c>
      <c r="I63" s="40">
        <v>140836504</v>
      </c>
      <c r="J63" s="41">
        <v>0.11354473374321215</v>
      </c>
    </row>
  </sheetData>
  <phoneticPr fontId="2"/>
  <pageMargins left="0.7" right="0.7" top="0.75" bottom="0.75" header="0.3" footer="0.3"/>
  <pageSetup paperSize="9" scale="8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0B2A9-F20A-49B8-8EF6-5B606592D72D}">
  <dimension ref="A1:AV101"/>
  <sheetViews>
    <sheetView zoomScaleNormal="100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A99" sqref="A99:AV101"/>
    </sheetView>
  </sheetViews>
  <sheetFormatPr defaultRowHeight="13" x14ac:dyDescent="0.2"/>
  <cols>
    <col min="1" max="1" width="25.36328125" customWidth="1"/>
    <col min="2" max="2" width="11" style="4" bestFit="1" customWidth="1"/>
    <col min="3" max="3" width="13.6328125" style="4" bestFit="1" customWidth="1"/>
    <col min="4" max="4" width="12.7265625" style="4" customWidth="1"/>
    <col min="5" max="15" width="11.453125" style="4" customWidth="1"/>
    <col min="16" max="17" width="12.7265625" style="4" customWidth="1"/>
    <col min="18" max="18" width="12.6328125" style="4" customWidth="1"/>
    <col min="19" max="19" width="12.453125" style="4" customWidth="1"/>
    <col min="20" max="20" width="13.7265625" style="4" customWidth="1"/>
    <col min="21" max="21" width="12.7265625" style="4" customWidth="1"/>
    <col min="22" max="22" width="12.453125" style="4" customWidth="1"/>
    <col min="23" max="23" width="12.90625" style="4" customWidth="1"/>
    <col min="24" max="24" width="13.36328125" style="4" customWidth="1"/>
    <col min="25" max="25" width="13.6328125" style="4" customWidth="1"/>
    <col min="26" max="26" width="13.08984375" style="4" customWidth="1"/>
    <col min="27" max="27" width="12.453125" style="4" customWidth="1"/>
    <col min="28" max="28" width="12.6328125" style="4" customWidth="1"/>
    <col min="29" max="29" width="13.90625" style="4" customWidth="1"/>
    <col min="30" max="30" width="14" style="4" customWidth="1"/>
    <col min="31" max="31" width="13.26953125" style="4" customWidth="1"/>
    <col min="32" max="32" width="13.08984375" style="4" customWidth="1"/>
    <col min="33" max="33" width="13.36328125" style="4" customWidth="1"/>
    <col min="34" max="34" width="13.6328125" style="4" customWidth="1"/>
    <col min="35" max="35" width="12.7265625" style="4" customWidth="1"/>
    <col min="36" max="48" width="14.26953125" style="4" customWidth="1"/>
  </cols>
  <sheetData>
    <row r="1" spans="1:48" x14ac:dyDescent="0.2">
      <c r="A1" s="51" t="s">
        <v>0</v>
      </c>
      <c r="B1" s="52" t="s">
        <v>185</v>
      </c>
      <c r="C1" s="52" t="s">
        <v>186</v>
      </c>
      <c r="D1" s="52" t="s">
        <v>187</v>
      </c>
      <c r="E1" s="52" t="s">
        <v>188</v>
      </c>
      <c r="F1" s="52" t="s">
        <v>189</v>
      </c>
      <c r="G1" s="52" t="s">
        <v>190</v>
      </c>
      <c r="H1" s="52" t="s">
        <v>191</v>
      </c>
      <c r="I1" s="52" t="s">
        <v>192</v>
      </c>
      <c r="J1" s="52" t="s">
        <v>193</v>
      </c>
      <c r="K1" s="52" t="s">
        <v>194</v>
      </c>
      <c r="L1" s="52" t="s">
        <v>195</v>
      </c>
      <c r="M1" s="52" t="s">
        <v>196</v>
      </c>
      <c r="N1" s="52" t="s">
        <v>197</v>
      </c>
      <c r="O1" s="52" t="s">
        <v>198</v>
      </c>
      <c r="P1" s="52" t="s">
        <v>199</v>
      </c>
      <c r="Q1" s="52" t="s">
        <v>200</v>
      </c>
      <c r="R1" s="52" t="s">
        <v>201</v>
      </c>
      <c r="S1" s="52" t="s">
        <v>202</v>
      </c>
      <c r="T1" s="52" t="s">
        <v>203</v>
      </c>
      <c r="U1" s="52" t="s">
        <v>204</v>
      </c>
      <c r="V1" s="52" t="s">
        <v>205</v>
      </c>
      <c r="W1" s="52" t="s">
        <v>206</v>
      </c>
      <c r="X1" s="52" t="s">
        <v>207</v>
      </c>
      <c r="Y1" s="52" t="s">
        <v>208</v>
      </c>
      <c r="Z1" s="52" t="s">
        <v>209</v>
      </c>
      <c r="AA1" s="52" t="s">
        <v>210</v>
      </c>
      <c r="AB1" s="52" t="s">
        <v>211</v>
      </c>
      <c r="AC1" s="52" t="s">
        <v>212</v>
      </c>
      <c r="AD1" s="52" t="s">
        <v>213</v>
      </c>
      <c r="AE1" s="52" t="s">
        <v>214</v>
      </c>
      <c r="AF1" s="52" t="s">
        <v>215</v>
      </c>
      <c r="AG1" s="52" t="s">
        <v>216</v>
      </c>
      <c r="AH1" s="52" t="s">
        <v>217</v>
      </c>
      <c r="AI1" s="52" t="s">
        <v>218</v>
      </c>
      <c r="AJ1" s="52" t="s">
        <v>219</v>
      </c>
      <c r="AK1" s="52" t="s">
        <v>220</v>
      </c>
      <c r="AL1" s="52" t="s">
        <v>221</v>
      </c>
      <c r="AM1" s="52" t="s">
        <v>222</v>
      </c>
      <c r="AN1" s="52" t="s">
        <v>223</v>
      </c>
      <c r="AO1" s="52" t="s">
        <v>224</v>
      </c>
      <c r="AP1" s="52" t="s">
        <v>225</v>
      </c>
      <c r="AQ1" s="52" t="s">
        <v>226</v>
      </c>
      <c r="AR1" s="52" t="s">
        <v>227</v>
      </c>
      <c r="AS1" s="52" t="s">
        <v>228</v>
      </c>
      <c r="AT1" s="52" t="s">
        <v>229</v>
      </c>
      <c r="AU1" s="52" t="s">
        <v>230</v>
      </c>
      <c r="AV1" s="52"/>
    </row>
    <row r="2" spans="1:48" x14ac:dyDescent="0.2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</row>
    <row r="3" spans="1:48" s="1" customFormat="1" x14ac:dyDescent="0.2">
      <c r="A3" s="53" t="s">
        <v>29</v>
      </c>
      <c r="B3" s="53">
        <v>26024</v>
      </c>
      <c r="C3" s="53">
        <v>27120</v>
      </c>
      <c r="D3" s="53">
        <v>27485</v>
      </c>
      <c r="E3" s="53">
        <v>27851</v>
      </c>
      <c r="F3" s="53">
        <v>28216</v>
      </c>
      <c r="G3" s="53">
        <v>28581</v>
      </c>
      <c r="H3" s="53">
        <v>28946</v>
      </c>
      <c r="I3" s="53">
        <v>29312</v>
      </c>
      <c r="J3" s="53">
        <v>29738</v>
      </c>
      <c r="K3" s="53">
        <v>30103</v>
      </c>
      <c r="L3" s="53">
        <v>30468</v>
      </c>
      <c r="M3" s="53">
        <v>30834</v>
      </c>
      <c r="N3" s="53">
        <v>31199</v>
      </c>
      <c r="O3" s="53">
        <v>31564</v>
      </c>
      <c r="P3" s="53">
        <v>31929</v>
      </c>
      <c r="Q3" s="53">
        <v>32295</v>
      </c>
      <c r="R3" s="53">
        <v>32660</v>
      </c>
      <c r="S3" s="53">
        <v>33025</v>
      </c>
      <c r="T3" s="53">
        <v>33390</v>
      </c>
      <c r="U3" s="53">
        <v>33756</v>
      </c>
      <c r="V3" s="53">
        <v>34121</v>
      </c>
      <c r="W3" s="53">
        <v>34486</v>
      </c>
      <c r="X3" s="53">
        <v>34851</v>
      </c>
      <c r="Y3" s="53">
        <v>35217</v>
      </c>
      <c r="Z3" s="53">
        <v>35582</v>
      </c>
      <c r="AA3" s="53">
        <v>35947</v>
      </c>
      <c r="AB3" s="53">
        <v>36312</v>
      </c>
      <c r="AC3" s="53">
        <v>36678</v>
      </c>
      <c r="AD3" s="53">
        <v>37043</v>
      </c>
      <c r="AE3" s="53">
        <v>37408</v>
      </c>
      <c r="AF3" s="53">
        <v>37773</v>
      </c>
      <c r="AG3" s="53">
        <v>38139</v>
      </c>
      <c r="AH3" s="53">
        <v>38504</v>
      </c>
      <c r="AI3" s="53">
        <v>38869</v>
      </c>
      <c r="AJ3" s="53">
        <v>39234</v>
      </c>
      <c r="AK3" s="53">
        <v>39600</v>
      </c>
      <c r="AL3" s="53">
        <v>39965</v>
      </c>
      <c r="AM3" s="53">
        <v>40330</v>
      </c>
      <c r="AN3" s="53">
        <v>40695</v>
      </c>
      <c r="AO3" s="53">
        <v>41061</v>
      </c>
      <c r="AP3" s="53">
        <v>41426</v>
      </c>
      <c r="AQ3" s="53">
        <v>41791</v>
      </c>
      <c r="AR3" s="53">
        <v>42156</v>
      </c>
      <c r="AS3" s="53">
        <v>42522</v>
      </c>
      <c r="AT3" s="53">
        <v>42887</v>
      </c>
      <c r="AU3" s="53">
        <v>43252</v>
      </c>
      <c r="AV3" s="53"/>
    </row>
    <row r="4" spans="1:48" s="1" customFormat="1" x14ac:dyDescent="0.2">
      <c r="A4" s="53" t="s">
        <v>30</v>
      </c>
      <c r="B4" s="53">
        <v>26389</v>
      </c>
      <c r="C4" s="53">
        <v>27484</v>
      </c>
      <c r="D4" s="53">
        <v>27850</v>
      </c>
      <c r="E4" s="53">
        <v>28215</v>
      </c>
      <c r="F4" s="53">
        <v>28580</v>
      </c>
      <c r="G4" s="53">
        <v>28945</v>
      </c>
      <c r="H4" s="53">
        <v>29311</v>
      </c>
      <c r="I4" s="59">
        <v>29737</v>
      </c>
      <c r="J4" s="53">
        <v>30102</v>
      </c>
      <c r="K4" s="53">
        <v>30467</v>
      </c>
      <c r="L4" s="53">
        <v>30833</v>
      </c>
      <c r="M4" s="53">
        <v>31198</v>
      </c>
      <c r="N4" s="53">
        <v>31563</v>
      </c>
      <c r="O4" s="53">
        <v>31928</v>
      </c>
      <c r="P4" s="53">
        <v>32294</v>
      </c>
      <c r="Q4" s="53">
        <v>32659</v>
      </c>
      <c r="R4" s="53">
        <v>33024</v>
      </c>
      <c r="S4" s="53">
        <v>33389</v>
      </c>
      <c r="T4" s="53">
        <v>33755</v>
      </c>
      <c r="U4" s="53">
        <v>34120</v>
      </c>
      <c r="V4" s="53">
        <v>34485</v>
      </c>
      <c r="W4" s="53">
        <v>34850</v>
      </c>
      <c r="X4" s="53">
        <v>35216</v>
      </c>
      <c r="Y4" s="53">
        <v>35581</v>
      </c>
      <c r="Z4" s="53">
        <v>35946</v>
      </c>
      <c r="AA4" s="53">
        <v>36311</v>
      </c>
      <c r="AB4" s="53">
        <v>36677</v>
      </c>
      <c r="AC4" s="53">
        <v>37042</v>
      </c>
      <c r="AD4" s="53">
        <v>37407</v>
      </c>
      <c r="AE4" s="53">
        <v>37772</v>
      </c>
      <c r="AF4" s="53">
        <v>38138</v>
      </c>
      <c r="AG4" s="53">
        <v>38503</v>
      </c>
      <c r="AH4" s="53">
        <v>38868</v>
      </c>
      <c r="AI4" s="53">
        <v>39233</v>
      </c>
      <c r="AJ4" s="53">
        <v>39599</v>
      </c>
      <c r="AK4" s="53">
        <v>39964</v>
      </c>
      <c r="AL4" s="53">
        <v>40329</v>
      </c>
      <c r="AM4" s="53">
        <v>40694</v>
      </c>
      <c r="AN4" s="53">
        <v>41060</v>
      </c>
      <c r="AO4" s="53">
        <v>41425</v>
      </c>
      <c r="AP4" s="53">
        <v>41790</v>
      </c>
      <c r="AQ4" s="53">
        <v>42155</v>
      </c>
      <c r="AR4" s="53">
        <v>42521</v>
      </c>
      <c r="AS4" s="53">
        <v>42886</v>
      </c>
      <c r="AT4" s="53">
        <v>43251</v>
      </c>
      <c r="AU4" s="53">
        <v>43616</v>
      </c>
      <c r="AV4" s="53"/>
    </row>
    <row r="5" spans="1:48" x14ac:dyDescent="0.2">
      <c r="A5" s="51" t="s">
        <v>16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</row>
    <row r="6" spans="1:48" s="2" customFormat="1" x14ac:dyDescent="0.2">
      <c r="A6" s="54" t="s">
        <v>5</v>
      </c>
      <c r="B6" s="52">
        <f t="shared" ref="B6:AV6" si="0">B14</f>
        <v>56467806</v>
      </c>
      <c r="C6" s="52">
        <f t="shared" si="0"/>
        <v>27852749</v>
      </c>
      <c r="D6" s="52">
        <f t="shared" si="0"/>
        <v>38742267</v>
      </c>
      <c r="E6" s="52">
        <f t="shared" si="0"/>
        <v>39729896</v>
      </c>
      <c r="F6" s="52">
        <f t="shared" si="0"/>
        <v>68839790</v>
      </c>
      <c r="G6" s="52">
        <f t="shared" si="0"/>
        <v>72944271</v>
      </c>
      <c r="H6" s="52">
        <f t="shared" si="0"/>
        <v>77292930</v>
      </c>
      <c r="I6" s="52">
        <f t="shared" si="0"/>
        <v>137603039</v>
      </c>
      <c r="J6" s="52">
        <f t="shared" si="0"/>
        <v>210117433</v>
      </c>
      <c r="K6" s="52">
        <f t="shared" si="0"/>
        <v>340906414</v>
      </c>
      <c r="L6" s="52">
        <f t="shared" si="0"/>
        <v>462114153</v>
      </c>
      <c r="M6" s="52">
        <f t="shared" si="0"/>
        <v>605317992</v>
      </c>
      <c r="N6" s="52">
        <f t="shared" si="0"/>
        <v>610811443</v>
      </c>
      <c r="O6" s="52">
        <f t="shared" si="0"/>
        <v>548117784</v>
      </c>
      <c r="P6" s="52">
        <f t="shared" si="0"/>
        <v>977261801</v>
      </c>
      <c r="Q6" s="52">
        <f t="shared" si="0"/>
        <v>1148075293</v>
      </c>
      <c r="R6" s="52">
        <f t="shared" si="0"/>
        <v>1336722065</v>
      </c>
      <c r="S6" s="52">
        <f t="shared" si="0"/>
        <v>1574665736</v>
      </c>
      <c r="T6" s="52">
        <f t="shared" si="0"/>
        <v>1909467695</v>
      </c>
      <c r="U6" s="52">
        <f t="shared" si="0"/>
        <v>2233860907</v>
      </c>
      <c r="V6" s="52">
        <f t="shared" si="0"/>
        <v>2564628088</v>
      </c>
      <c r="W6" s="52">
        <f t="shared" si="0"/>
        <v>2932720782</v>
      </c>
      <c r="X6" s="52">
        <f t="shared" si="0"/>
        <v>3060330824</v>
      </c>
      <c r="Y6" s="52">
        <f t="shared" si="0"/>
        <v>3581582216</v>
      </c>
      <c r="Z6" s="52">
        <f t="shared" si="0"/>
        <v>4003922329</v>
      </c>
      <c r="AA6" s="52">
        <f t="shared" si="0"/>
        <v>4102242138</v>
      </c>
      <c r="AB6" s="52">
        <f t="shared" si="0"/>
        <v>4585975330</v>
      </c>
      <c r="AC6" s="52">
        <f t="shared" si="0"/>
        <v>5415534204</v>
      </c>
      <c r="AD6" s="52">
        <f t="shared" si="0"/>
        <v>6058496101</v>
      </c>
      <c r="AE6" s="52">
        <f t="shared" si="0"/>
        <v>6925468079</v>
      </c>
      <c r="AF6" s="52">
        <f t="shared" si="0"/>
        <v>7566202310</v>
      </c>
      <c r="AG6" s="52">
        <f t="shared" si="0"/>
        <v>7970472842</v>
      </c>
      <c r="AH6" s="52">
        <f t="shared" si="0"/>
        <v>7839237083</v>
      </c>
      <c r="AI6" s="52">
        <f t="shared" si="0"/>
        <v>7465974646</v>
      </c>
      <c r="AJ6" s="52">
        <f t="shared" si="0"/>
        <v>7115508024</v>
      </c>
      <c r="AK6" s="52">
        <f t="shared" si="0"/>
        <v>6167948401</v>
      </c>
      <c r="AL6" s="52">
        <f t="shared" si="0"/>
        <v>5334141026</v>
      </c>
      <c r="AM6" s="52">
        <f t="shared" si="0"/>
        <v>4947628206</v>
      </c>
      <c r="AN6" s="52">
        <f t="shared" si="0"/>
        <v>4557057492</v>
      </c>
      <c r="AO6" s="52">
        <f t="shared" si="0"/>
        <v>4070098489</v>
      </c>
      <c r="AP6" s="52">
        <f t="shared" si="0"/>
        <v>3495128155</v>
      </c>
      <c r="AQ6" s="52">
        <f t="shared" si="0"/>
        <v>3141588026</v>
      </c>
      <c r="AR6" s="52">
        <f t="shared" si="0"/>
        <v>2815395687</v>
      </c>
      <c r="AS6" s="52">
        <f t="shared" si="0"/>
        <v>2434952629</v>
      </c>
      <c r="AT6" s="52">
        <f t="shared" si="0"/>
        <v>2104718322</v>
      </c>
      <c r="AU6" s="52">
        <f t="shared" si="0"/>
        <v>1894483733</v>
      </c>
      <c r="AV6" s="52">
        <f t="shared" si="0"/>
        <v>0</v>
      </c>
    </row>
    <row r="7" spans="1:48" s="2" customFormat="1" x14ac:dyDescent="0.2">
      <c r="A7" s="54" t="s">
        <v>6</v>
      </c>
      <c r="B7" s="52">
        <f t="shared" ref="B7:AV8" si="1">B25</f>
        <v>507500</v>
      </c>
      <c r="C7" s="52">
        <f t="shared" si="1"/>
        <v>991000</v>
      </c>
      <c r="D7" s="52">
        <f t="shared" si="1"/>
        <v>891000</v>
      </c>
      <c r="E7" s="52">
        <f t="shared" si="1"/>
        <v>1240500</v>
      </c>
      <c r="F7" s="52">
        <f t="shared" si="1"/>
        <v>1761000</v>
      </c>
      <c r="G7" s="52">
        <f t="shared" si="1"/>
        <v>2106000</v>
      </c>
      <c r="H7" s="52">
        <f t="shared" si="1"/>
        <v>2214000</v>
      </c>
      <c r="I7" s="52">
        <f t="shared" si="1"/>
        <v>2846000</v>
      </c>
      <c r="J7" s="52">
        <f t="shared" si="1"/>
        <v>2808000</v>
      </c>
      <c r="K7" s="52">
        <f t="shared" si="1"/>
        <v>5998500</v>
      </c>
      <c r="L7" s="52">
        <f t="shared" si="1"/>
        <v>11698969</v>
      </c>
      <c r="M7" s="52">
        <f t="shared" si="1"/>
        <v>18147500</v>
      </c>
      <c r="N7" s="52">
        <f t="shared" si="1"/>
        <v>21274000</v>
      </c>
      <c r="O7" s="52">
        <f t="shared" si="1"/>
        <v>24246331</v>
      </c>
      <c r="P7" s="52">
        <f t="shared" si="1"/>
        <v>106193674</v>
      </c>
      <c r="Q7" s="52">
        <f t="shared" si="1"/>
        <v>117599803</v>
      </c>
      <c r="R7" s="52">
        <f t="shared" si="1"/>
        <v>131227450</v>
      </c>
      <c r="S7" s="52">
        <f t="shared" si="1"/>
        <v>138978980</v>
      </c>
      <c r="T7" s="52">
        <f t="shared" si="1"/>
        <v>160903445</v>
      </c>
      <c r="U7" s="52">
        <f t="shared" si="1"/>
        <v>181076991</v>
      </c>
      <c r="V7" s="52">
        <f t="shared" si="1"/>
        <v>222661591</v>
      </c>
      <c r="W7" s="52">
        <f t="shared" si="1"/>
        <v>256665890</v>
      </c>
      <c r="X7" s="52">
        <f t="shared" si="1"/>
        <v>281799053</v>
      </c>
      <c r="Y7" s="52">
        <f t="shared" si="1"/>
        <v>325628242</v>
      </c>
      <c r="Z7" s="52">
        <f t="shared" si="1"/>
        <v>359110500</v>
      </c>
      <c r="AA7" s="52">
        <f t="shared" si="1"/>
        <v>400766500</v>
      </c>
      <c r="AB7" s="52">
        <f t="shared" si="1"/>
        <v>456753500</v>
      </c>
      <c r="AC7" s="52">
        <f t="shared" si="1"/>
        <v>526283000</v>
      </c>
      <c r="AD7" s="52">
        <f t="shared" si="1"/>
        <v>610693000</v>
      </c>
      <c r="AE7" s="52">
        <f t="shared" si="1"/>
        <v>767294500</v>
      </c>
      <c r="AF7" s="52">
        <f t="shared" si="1"/>
        <v>898358000</v>
      </c>
      <c r="AG7" s="52">
        <f t="shared" si="1"/>
        <v>998373500</v>
      </c>
      <c r="AH7" s="52">
        <f t="shared" si="1"/>
        <v>1014793500</v>
      </c>
      <c r="AI7" s="52">
        <f t="shared" si="1"/>
        <v>1063673000</v>
      </c>
      <c r="AJ7" s="52">
        <f t="shared" si="1"/>
        <v>1073210000</v>
      </c>
      <c r="AK7" s="52">
        <f t="shared" si="1"/>
        <v>944397500</v>
      </c>
      <c r="AL7" s="52">
        <f t="shared" si="1"/>
        <v>910822500</v>
      </c>
      <c r="AM7" s="52">
        <f t="shared" si="1"/>
        <v>882198500</v>
      </c>
      <c r="AN7" s="52">
        <f t="shared" si="1"/>
        <v>857604500</v>
      </c>
      <c r="AO7" s="52">
        <f t="shared" si="1"/>
        <v>813657000</v>
      </c>
      <c r="AP7" s="52">
        <f t="shared" si="1"/>
        <v>783969000</v>
      </c>
      <c r="AQ7" s="52">
        <f t="shared" si="1"/>
        <v>768776000</v>
      </c>
      <c r="AR7" s="52">
        <f t="shared" si="1"/>
        <v>815266000</v>
      </c>
      <c r="AS7" s="52">
        <f t="shared" si="1"/>
        <v>757387000</v>
      </c>
      <c r="AT7" s="52">
        <f t="shared" si="1"/>
        <v>730070000</v>
      </c>
      <c r="AU7" s="52">
        <f t="shared" si="1"/>
        <v>700307500</v>
      </c>
      <c r="AV7" s="52">
        <f t="shared" si="1"/>
        <v>0</v>
      </c>
    </row>
    <row r="8" spans="1:48" s="2" customFormat="1" x14ac:dyDescent="0.2">
      <c r="A8" s="54" t="s">
        <v>7</v>
      </c>
      <c r="B8" s="52">
        <f t="shared" si="1"/>
        <v>515763</v>
      </c>
      <c r="C8" s="52">
        <f t="shared" si="1"/>
        <v>-1265578</v>
      </c>
      <c r="D8" s="52">
        <f t="shared" si="1"/>
        <v>-2006229</v>
      </c>
      <c r="E8" s="52">
        <f t="shared" si="1"/>
        <v>-123689</v>
      </c>
      <c r="F8" s="52">
        <f t="shared" si="1"/>
        <v>141455</v>
      </c>
      <c r="G8" s="52">
        <f t="shared" si="1"/>
        <v>1323534</v>
      </c>
      <c r="H8" s="52">
        <f t="shared" si="1"/>
        <v>2733427</v>
      </c>
      <c r="I8" s="52">
        <f t="shared" si="1"/>
        <v>1402385</v>
      </c>
      <c r="J8" s="52">
        <f t="shared" si="1"/>
        <v>7720944</v>
      </c>
      <c r="K8" s="52">
        <f t="shared" si="1"/>
        <v>4912474</v>
      </c>
      <c r="L8" s="52">
        <f t="shared" si="1"/>
        <v>6701831</v>
      </c>
      <c r="M8" s="52">
        <f t="shared" si="1"/>
        <v>5661889</v>
      </c>
      <c r="N8" s="52">
        <f t="shared" si="1"/>
        <v>6716639</v>
      </c>
      <c r="O8" s="52">
        <f t="shared" si="1"/>
        <v>6275288</v>
      </c>
      <c r="P8" s="52">
        <f t="shared" si="1"/>
        <v>8057146</v>
      </c>
      <c r="Q8" s="52">
        <f t="shared" si="1"/>
        <v>14486841</v>
      </c>
      <c r="R8" s="52">
        <f t="shared" si="1"/>
        <v>15264177</v>
      </c>
      <c r="S8" s="52">
        <f t="shared" si="1"/>
        <v>18943976</v>
      </c>
      <c r="T8" s="52">
        <f t="shared" si="1"/>
        <v>17100574</v>
      </c>
      <c r="U8" s="52">
        <f t="shared" si="1"/>
        <v>40039560</v>
      </c>
      <c r="V8" s="52">
        <f t="shared" si="1"/>
        <v>58683367</v>
      </c>
      <c r="W8" s="52">
        <f t="shared" si="1"/>
        <v>68707809</v>
      </c>
      <c r="X8" s="52">
        <f t="shared" si="1"/>
        <v>107187895</v>
      </c>
      <c r="Y8" s="52">
        <f t="shared" si="1"/>
        <v>132176267</v>
      </c>
      <c r="Z8" s="52">
        <f t="shared" si="1"/>
        <v>181046564</v>
      </c>
      <c r="AA8" s="52">
        <f t="shared" si="1"/>
        <v>223636189</v>
      </c>
      <c r="AB8" s="52">
        <f t="shared" si="1"/>
        <v>262129230</v>
      </c>
      <c r="AC8" s="52">
        <f t="shared" si="1"/>
        <v>293222673</v>
      </c>
      <c r="AD8" s="52">
        <f t="shared" si="1"/>
        <v>321397928</v>
      </c>
      <c r="AE8" s="52">
        <f t="shared" si="1"/>
        <v>379443377</v>
      </c>
      <c r="AF8" s="52">
        <f t="shared" si="1"/>
        <v>441066319</v>
      </c>
      <c r="AG8" s="52">
        <f t="shared" si="1"/>
        <v>458929196</v>
      </c>
      <c r="AH8" s="52">
        <f t="shared" si="1"/>
        <v>485045125</v>
      </c>
      <c r="AI8" s="52">
        <f t="shared" si="1"/>
        <v>532630554</v>
      </c>
      <c r="AJ8" s="52">
        <f t="shared" si="1"/>
        <v>536411203</v>
      </c>
      <c r="AK8" s="52">
        <f t="shared" si="1"/>
        <v>596461234</v>
      </c>
      <c r="AL8" s="52">
        <f t="shared" si="1"/>
        <v>606555044</v>
      </c>
      <c r="AM8" s="52">
        <f t="shared" si="1"/>
        <v>362713163</v>
      </c>
      <c r="AN8" s="52">
        <f t="shared" si="1"/>
        <v>599959685</v>
      </c>
      <c r="AO8" s="52">
        <f t="shared" si="1"/>
        <v>623020770</v>
      </c>
      <c r="AP8" s="52">
        <f t="shared" si="1"/>
        <v>634730392</v>
      </c>
      <c r="AQ8" s="52">
        <f t="shared" si="1"/>
        <v>681419859</v>
      </c>
      <c r="AR8" s="52">
        <f t="shared" si="1"/>
        <v>709618038</v>
      </c>
      <c r="AS8" s="52">
        <f t="shared" si="1"/>
        <v>721941240</v>
      </c>
      <c r="AT8" s="52">
        <f t="shared" si="1"/>
        <v>741193289</v>
      </c>
      <c r="AU8" s="52">
        <f t="shared" si="1"/>
        <v>780542358</v>
      </c>
      <c r="AV8" s="52">
        <f t="shared" si="1"/>
        <v>0</v>
      </c>
    </row>
    <row r="9" spans="1:48" s="2" customFormat="1" x14ac:dyDescent="0.2">
      <c r="A9" s="54" t="s">
        <v>8</v>
      </c>
      <c r="B9" s="52">
        <f t="shared" ref="B9:AV9" si="2">B7+B8</f>
        <v>1023263</v>
      </c>
      <c r="C9" s="52">
        <f t="shared" si="2"/>
        <v>-274578</v>
      </c>
      <c r="D9" s="52">
        <f t="shared" si="2"/>
        <v>-1115229</v>
      </c>
      <c r="E9" s="52">
        <f t="shared" si="2"/>
        <v>1116811</v>
      </c>
      <c r="F9" s="52">
        <f t="shared" si="2"/>
        <v>1902455</v>
      </c>
      <c r="G9" s="52">
        <f t="shared" si="2"/>
        <v>3429534</v>
      </c>
      <c r="H9" s="52">
        <f t="shared" si="2"/>
        <v>4947427</v>
      </c>
      <c r="I9" s="52">
        <f t="shared" si="2"/>
        <v>4248385</v>
      </c>
      <c r="J9" s="52">
        <f t="shared" si="2"/>
        <v>10528944</v>
      </c>
      <c r="K9" s="52">
        <f t="shared" si="2"/>
        <v>10910974</v>
      </c>
      <c r="L9" s="52">
        <f t="shared" si="2"/>
        <v>18400800</v>
      </c>
      <c r="M9" s="52">
        <f t="shared" si="2"/>
        <v>23809389</v>
      </c>
      <c r="N9" s="52">
        <f t="shared" si="2"/>
        <v>27990639</v>
      </c>
      <c r="O9" s="52">
        <f t="shared" si="2"/>
        <v>30521619</v>
      </c>
      <c r="P9" s="52">
        <f t="shared" si="2"/>
        <v>114250820</v>
      </c>
      <c r="Q9" s="52">
        <f t="shared" si="2"/>
        <v>132086644</v>
      </c>
      <c r="R9" s="52">
        <f t="shared" si="2"/>
        <v>146491627</v>
      </c>
      <c r="S9" s="52">
        <f t="shared" si="2"/>
        <v>157922956</v>
      </c>
      <c r="T9" s="52">
        <f t="shared" si="2"/>
        <v>178004019</v>
      </c>
      <c r="U9" s="52">
        <f t="shared" si="2"/>
        <v>221116551</v>
      </c>
      <c r="V9" s="52">
        <f t="shared" si="2"/>
        <v>281344958</v>
      </c>
      <c r="W9" s="52">
        <f t="shared" si="2"/>
        <v>325373699</v>
      </c>
      <c r="X9" s="52">
        <f t="shared" si="2"/>
        <v>388986948</v>
      </c>
      <c r="Y9" s="52">
        <f t="shared" si="2"/>
        <v>457804509</v>
      </c>
      <c r="Z9" s="52">
        <f t="shared" si="2"/>
        <v>540157064</v>
      </c>
      <c r="AA9" s="52">
        <f t="shared" si="2"/>
        <v>624402689</v>
      </c>
      <c r="AB9" s="52">
        <f t="shared" si="2"/>
        <v>718882730</v>
      </c>
      <c r="AC9" s="52">
        <f t="shared" si="2"/>
        <v>819505673</v>
      </c>
      <c r="AD9" s="52">
        <f t="shared" si="2"/>
        <v>932090928</v>
      </c>
      <c r="AE9" s="52">
        <f t="shared" si="2"/>
        <v>1146737877</v>
      </c>
      <c r="AF9" s="52">
        <f t="shared" si="2"/>
        <v>1339424319</v>
      </c>
      <c r="AG9" s="52">
        <f t="shared" si="2"/>
        <v>1457302696</v>
      </c>
      <c r="AH9" s="52">
        <f t="shared" si="2"/>
        <v>1499838625</v>
      </c>
      <c r="AI9" s="52">
        <f t="shared" si="2"/>
        <v>1596303554</v>
      </c>
      <c r="AJ9" s="52">
        <f t="shared" si="2"/>
        <v>1609621203</v>
      </c>
      <c r="AK9" s="52">
        <f t="shared" si="2"/>
        <v>1540858734</v>
      </c>
      <c r="AL9" s="52">
        <f t="shared" si="2"/>
        <v>1517377544</v>
      </c>
      <c r="AM9" s="52">
        <f t="shared" si="2"/>
        <v>1244911663</v>
      </c>
      <c r="AN9" s="52">
        <f t="shared" si="2"/>
        <v>1457564185</v>
      </c>
      <c r="AO9" s="52">
        <f t="shared" si="2"/>
        <v>1436677770</v>
      </c>
      <c r="AP9" s="52">
        <f t="shared" si="2"/>
        <v>1418699392</v>
      </c>
      <c r="AQ9" s="52">
        <f t="shared" si="2"/>
        <v>1450195859</v>
      </c>
      <c r="AR9" s="52">
        <f t="shared" si="2"/>
        <v>1524884038</v>
      </c>
      <c r="AS9" s="52">
        <f t="shared" si="2"/>
        <v>1479328240</v>
      </c>
      <c r="AT9" s="52">
        <f t="shared" si="2"/>
        <v>1471263289</v>
      </c>
      <c r="AU9" s="52">
        <f t="shared" si="2"/>
        <v>1480849858</v>
      </c>
      <c r="AV9" s="52">
        <f t="shared" si="2"/>
        <v>0</v>
      </c>
    </row>
    <row r="10" spans="1:48" s="3" customFormat="1" x14ac:dyDescent="0.2">
      <c r="A10" s="55" t="s">
        <v>9</v>
      </c>
      <c r="B10" s="55">
        <f t="shared" ref="B10:AV10" si="3">B9/B28</f>
        <v>1.6423906515974723E-2</v>
      </c>
      <c r="C10" s="55">
        <f t="shared" si="3"/>
        <v>-6.9009609139072088E-3</v>
      </c>
      <c r="D10" s="55">
        <f t="shared" si="3"/>
        <v>-2.4787505786082898E-2</v>
      </c>
      <c r="E10" s="55">
        <f t="shared" si="3"/>
        <v>1.8998053092979483E-2</v>
      </c>
      <c r="F10" s="55">
        <f t="shared" si="3"/>
        <v>1.7276261917304327E-2</v>
      </c>
      <c r="G10" s="55">
        <f t="shared" si="3"/>
        <v>3.6060776826917371E-2</v>
      </c>
      <c r="H10" s="55">
        <f t="shared" si="3"/>
        <v>5.4911259487093633E-2</v>
      </c>
      <c r="I10" s="55">
        <f t="shared" si="3"/>
        <v>2.1278857649278973E-2</v>
      </c>
      <c r="J10" s="55">
        <f t="shared" si="3"/>
        <v>3.5215063674953223E-2</v>
      </c>
      <c r="K10" s="55">
        <f t="shared" si="3"/>
        <v>2.5272973900277541E-2</v>
      </c>
      <c r="L10" s="55">
        <f t="shared" si="3"/>
        <v>3.5481765741487453E-2</v>
      </c>
      <c r="M10" s="55">
        <f t="shared" si="3"/>
        <v>3.475676644678017E-2</v>
      </c>
      <c r="N10" s="55">
        <f t="shared" si="3"/>
        <v>3.9071199160846296E-2</v>
      </c>
      <c r="O10" s="55">
        <f t="shared" si="3"/>
        <v>4.6318798495946917E-2</v>
      </c>
      <c r="P10" s="55">
        <f t="shared" si="3"/>
        <v>0.10760971516065418</v>
      </c>
      <c r="Q10" s="55">
        <f t="shared" si="3"/>
        <v>0.10651675285661276</v>
      </c>
      <c r="R10" s="55">
        <f t="shared" si="3"/>
        <v>9.9466871164498219E-2</v>
      </c>
      <c r="S10" s="55">
        <f t="shared" si="3"/>
        <v>9.5699724068415384E-2</v>
      </c>
      <c r="T10" s="55">
        <f t="shared" si="3"/>
        <v>8.9949443889229444E-2</v>
      </c>
      <c r="U10" s="55">
        <f t="shared" si="3"/>
        <v>9.4629724680154945E-2</v>
      </c>
      <c r="V10" s="55">
        <f t="shared" si="3"/>
        <v>0.10470933525864903</v>
      </c>
      <c r="W10" s="55">
        <f t="shared" si="3"/>
        <v>0.1035601044410097</v>
      </c>
      <c r="X10" s="55">
        <f t="shared" si="3"/>
        <v>0.119898379773071</v>
      </c>
      <c r="Y10" s="55">
        <f t="shared" si="3"/>
        <v>0.122304235654006</v>
      </c>
      <c r="Z10" s="55">
        <f t="shared" si="3"/>
        <v>0.12891276838115268</v>
      </c>
      <c r="AA10" s="55">
        <f t="shared" si="3"/>
        <v>0.14445632522940233</v>
      </c>
      <c r="AB10" s="55">
        <f t="shared" si="3"/>
        <v>0.14923067332847262</v>
      </c>
      <c r="AC10" s="55">
        <f t="shared" si="3"/>
        <v>0.14537754826772831</v>
      </c>
      <c r="AD10" s="55">
        <f t="shared" si="3"/>
        <v>0.14711266296911871</v>
      </c>
      <c r="AE10" s="55">
        <f t="shared" si="3"/>
        <v>0.15891748520775734</v>
      </c>
      <c r="AF10" s="55">
        <f t="shared" si="3"/>
        <v>0.17174933403471851</v>
      </c>
      <c r="AG10" s="55">
        <f t="shared" si="3"/>
        <v>0.17810153989899588</v>
      </c>
      <c r="AH10" s="55">
        <f t="shared" si="3"/>
        <v>0.18636261092237374</v>
      </c>
      <c r="AI10" s="55">
        <f t="shared" si="3"/>
        <v>0.20918813293609784</v>
      </c>
      <c r="AJ10" s="55">
        <f t="shared" si="3"/>
        <v>0.220498708197608</v>
      </c>
      <c r="AK10" s="55">
        <f t="shared" si="3"/>
        <v>0.23332878576590763</v>
      </c>
      <c r="AL10" s="55">
        <f t="shared" si="3"/>
        <v>0.2464448251122853</v>
      </c>
      <c r="AM10" s="55">
        <f t="shared" si="3"/>
        <v>0.22979808441195904</v>
      </c>
      <c r="AN10" s="55">
        <f t="shared" si="3"/>
        <v>0.27868694313667774</v>
      </c>
      <c r="AO10" s="55">
        <f t="shared" si="3"/>
        <v>0.30348184833269948</v>
      </c>
      <c r="AP10" s="55">
        <f t="shared" si="3"/>
        <v>0.34685240392425298</v>
      </c>
      <c r="AQ10" s="55">
        <f t="shared" si="3"/>
        <v>0.37872410471860662</v>
      </c>
      <c r="AR10" s="55">
        <f t="shared" si="3"/>
        <v>0.43898048008083762</v>
      </c>
      <c r="AS10" s="55">
        <f t="shared" si="3"/>
        <v>0.47100037936282013</v>
      </c>
      <c r="AT10" s="55">
        <f t="shared" si="3"/>
        <v>0.51686448465391122</v>
      </c>
      <c r="AU10" s="55">
        <f t="shared" si="3"/>
        <v>0.56631421677242944</v>
      </c>
      <c r="AV10" s="55" t="e">
        <f t="shared" si="3"/>
        <v>#DIV/0!</v>
      </c>
    </row>
    <row r="11" spans="1:48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</row>
    <row r="12" spans="1:48" x14ac:dyDescent="0.2">
      <c r="A12" s="51" t="s">
        <v>17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</row>
    <row r="13" spans="1:48" s="2" customFormat="1" x14ac:dyDescent="0.2">
      <c r="A13" s="54" t="s">
        <v>10</v>
      </c>
      <c r="B13" s="56">
        <v>62754616</v>
      </c>
      <c r="C13" s="56">
        <v>85231000</v>
      </c>
      <c r="D13" s="56">
        <v>28349910</v>
      </c>
      <c r="E13" s="56">
        <v>56295235</v>
      </c>
      <c r="F13" s="56">
        <v>239120000</v>
      </c>
      <c r="G13" s="56">
        <v>93026467</v>
      </c>
      <c r="H13" s="56">
        <v>95361748</v>
      </c>
      <c r="I13" s="56">
        <v>141283534</v>
      </c>
      <c r="J13" s="56">
        <v>223481000</v>
      </c>
      <c r="K13" s="56">
        <v>345195000</v>
      </c>
      <c r="L13" s="56">
        <v>318390000</v>
      </c>
      <c r="M13" s="56">
        <v>425057000</v>
      </c>
      <c r="N13" s="56">
        <v>378837000</v>
      </c>
      <c r="O13" s="56">
        <v>391500382</v>
      </c>
      <c r="P13" s="56">
        <v>939810499</v>
      </c>
      <c r="Q13" s="56">
        <v>844576712</v>
      </c>
      <c r="R13" s="56">
        <v>910664379</v>
      </c>
      <c r="S13" s="56">
        <v>1152062785</v>
      </c>
      <c r="T13" s="56">
        <v>1174217244</v>
      </c>
      <c r="U13" s="56">
        <v>1468917904</v>
      </c>
      <c r="V13" s="56">
        <v>1568370895</v>
      </c>
      <c r="W13" s="56">
        <v>1685406692</v>
      </c>
      <c r="X13" s="56">
        <v>1740071385</v>
      </c>
      <c r="Y13" s="56">
        <v>2030239846</v>
      </c>
      <c r="Z13" s="56">
        <v>1894548868</v>
      </c>
      <c r="AA13" s="56">
        <v>1598050707</v>
      </c>
      <c r="AB13" s="56">
        <v>2185619224</v>
      </c>
      <c r="AC13" s="56">
        <v>2587056542</v>
      </c>
      <c r="AD13" s="56">
        <v>2781119659</v>
      </c>
      <c r="AE13" s="56">
        <v>3188676260</v>
      </c>
      <c r="AF13" s="56">
        <v>3104854114</v>
      </c>
      <c r="AG13" s="56">
        <v>2937431321</v>
      </c>
      <c r="AH13" s="56">
        <v>2530354359</v>
      </c>
      <c r="AI13" s="56">
        <v>2081610000</v>
      </c>
      <c r="AJ13" s="56">
        <v>2045613000</v>
      </c>
      <c r="AK13" s="56">
        <v>1218685479</v>
      </c>
      <c r="AL13" s="56">
        <v>1258571171</v>
      </c>
      <c r="AM13" s="56">
        <v>1350180416</v>
      </c>
      <c r="AN13" s="56">
        <v>1237490000</v>
      </c>
      <c r="AO13" s="56">
        <v>910602992</v>
      </c>
      <c r="AP13" s="56">
        <v>654310000</v>
      </c>
      <c r="AQ13" s="56">
        <v>752660000</v>
      </c>
      <c r="AR13" s="56">
        <v>639510000</v>
      </c>
      <c r="AS13" s="56">
        <v>508320000</v>
      </c>
      <c r="AT13" s="56">
        <v>425050000</v>
      </c>
      <c r="AU13" s="56">
        <v>508740000</v>
      </c>
      <c r="AV13" s="56"/>
    </row>
    <row r="14" spans="1:48" s="2" customFormat="1" x14ac:dyDescent="0.2">
      <c r="A14" s="54" t="s">
        <v>2</v>
      </c>
      <c r="B14" s="57">
        <v>56467806</v>
      </c>
      <c r="C14" s="57">
        <v>27852749</v>
      </c>
      <c r="D14" s="57">
        <v>38742267</v>
      </c>
      <c r="E14" s="57">
        <v>39729896</v>
      </c>
      <c r="F14" s="57">
        <v>68839790</v>
      </c>
      <c r="G14" s="57">
        <v>72944271</v>
      </c>
      <c r="H14" s="57">
        <v>77292930</v>
      </c>
      <c r="I14" s="57">
        <v>137603039</v>
      </c>
      <c r="J14" s="57">
        <v>210117433</v>
      </c>
      <c r="K14" s="57">
        <v>340906414</v>
      </c>
      <c r="L14" s="57">
        <v>462114153</v>
      </c>
      <c r="M14" s="57">
        <v>605317992</v>
      </c>
      <c r="N14" s="57">
        <v>610811443</v>
      </c>
      <c r="O14" s="57">
        <v>548117784</v>
      </c>
      <c r="P14" s="57">
        <v>977261801</v>
      </c>
      <c r="Q14" s="57">
        <v>1148075293</v>
      </c>
      <c r="R14" s="57">
        <v>1336722065</v>
      </c>
      <c r="S14" s="57">
        <v>1574665736</v>
      </c>
      <c r="T14" s="57">
        <v>1909467695</v>
      </c>
      <c r="U14" s="57">
        <v>2233860907</v>
      </c>
      <c r="V14" s="57">
        <v>2564628088</v>
      </c>
      <c r="W14" s="57">
        <v>2932720782</v>
      </c>
      <c r="X14" s="57">
        <v>3060330824</v>
      </c>
      <c r="Y14" s="57">
        <v>3581582216</v>
      </c>
      <c r="Z14" s="57">
        <v>4003922329</v>
      </c>
      <c r="AA14" s="57">
        <v>4102242138</v>
      </c>
      <c r="AB14" s="57">
        <v>4585975330</v>
      </c>
      <c r="AC14" s="57">
        <v>5415534204</v>
      </c>
      <c r="AD14" s="57">
        <v>6058496101</v>
      </c>
      <c r="AE14" s="57">
        <v>6925468079</v>
      </c>
      <c r="AF14" s="57">
        <v>7566202310</v>
      </c>
      <c r="AG14" s="57">
        <v>7970472842</v>
      </c>
      <c r="AH14" s="57">
        <v>7839237083</v>
      </c>
      <c r="AI14" s="57">
        <v>7465974646</v>
      </c>
      <c r="AJ14" s="57">
        <v>7115508024</v>
      </c>
      <c r="AK14" s="57">
        <v>6167948401</v>
      </c>
      <c r="AL14" s="57">
        <v>5334141026</v>
      </c>
      <c r="AM14" s="57">
        <v>4947628206</v>
      </c>
      <c r="AN14" s="57">
        <v>4557057492</v>
      </c>
      <c r="AO14" s="57">
        <v>4070098489</v>
      </c>
      <c r="AP14" s="57">
        <v>3495128155</v>
      </c>
      <c r="AQ14" s="57">
        <v>3141588026</v>
      </c>
      <c r="AR14" s="57">
        <v>2815395687</v>
      </c>
      <c r="AS14" s="57">
        <v>2434952629</v>
      </c>
      <c r="AT14" s="57">
        <v>2104718322</v>
      </c>
      <c r="AU14" s="57">
        <v>1894483733</v>
      </c>
      <c r="AV14" s="57"/>
    </row>
    <row r="15" spans="1:48" s="2" customFormat="1" x14ac:dyDescent="0.2">
      <c r="A15" s="54" t="s">
        <v>12</v>
      </c>
      <c r="B15" s="57">
        <v>7255976</v>
      </c>
      <c r="C15" s="57">
        <v>6574610</v>
      </c>
      <c r="D15" s="57">
        <v>3006901</v>
      </c>
      <c r="E15" s="57">
        <v>6306032</v>
      </c>
      <c r="F15" s="57">
        <v>8719850</v>
      </c>
      <c r="G15" s="57">
        <v>11171727</v>
      </c>
      <c r="H15" s="57">
        <v>10589557</v>
      </c>
      <c r="I15" s="58">
        <v>18256921</v>
      </c>
      <c r="J15" s="57">
        <v>30780421</v>
      </c>
      <c r="K15" s="57">
        <v>56639919</v>
      </c>
      <c r="L15" s="57">
        <v>71164229</v>
      </c>
      <c r="M15" s="57">
        <v>82187558</v>
      </c>
      <c r="N15" s="57">
        <v>95752432</v>
      </c>
      <c r="O15" s="57">
        <v>88871087</v>
      </c>
      <c r="P15" s="57">
        <v>97514819</v>
      </c>
      <c r="Q15" s="57">
        <v>123132847</v>
      </c>
      <c r="R15" s="57">
        <v>146157789</v>
      </c>
      <c r="S15" s="57">
        <v>182082762</v>
      </c>
      <c r="T15" s="57">
        <v>297378698</v>
      </c>
      <c r="U15" s="57">
        <v>262035415</v>
      </c>
      <c r="V15" s="57">
        <v>375216794</v>
      </c>
      <c r="W15" s="57">
        <v>392188233</v>
      </c>
      <c r="X15" s="57">
        <v>569733119</v>
      </c>
      <c r="Y15" s="57">
        <v>486907275</v>
      </c>
      <c r="Z15" s="57">
        <v>456579516</v>
      </c>
      <c r="AA15" s="57">
        <v>486649004</v>
      </c>
      <c r="AB15" s="57">
        <v>474055567</v>
      </c>
      <c r="AC15" s="57">
        <v>522228623</v>
      </c>
      <c r="AD15" s="57">
        <v>590369152</v>
      </c>
      <c r="AE15" s="57">
        <v>670055889</v>
      </c>
      <c r="AF15" s="57">
        <v>787813714</v>
      </c>
      <c r="AG15" s="57">
        <v>755009734</v>
      </c>
      <c r="AH15" s="57">
        <v>777545180</v>
      </c>
      <c r="AI15" s="57">
        <v>738124837</v>
      </c>
      <c r="AJ15" s="57">
        <v>698803718</v>
      </c>
      <c r="AK15" s="57">
        <v>630322470</v>
      </c>
      <c r="AL15" s="57">
        <v>538293758</v>
      </c>
      <c r="AM15" s="57">
        <v>481797500</v>
      </c>
      <c r="AN15" s="57">
        <v>440582048</v>
      </c>
      <c r="AO15" s="57">
        <v>399485427</v>
      </c>
      <c r="AP15" s="57">
        <v>340271786</v>
      </c>
      <c r="AQ15" s="57">
        <v>316029895</v>
      </c>
      <c r="AR15" s="57">
        <v>267763259</v>
      </c>
      <c r="AS15" s="57">
        <v>233618910</v>
      </c>
      <c r="AT15" s="57">
        <v>203047876</v>
      </c>
      <c r="AU15" s="57">
        <v>177008417</v>
      </c>
      <c r="AV15" s="57"/>
    </row>
    <row r="16" spans="1:48" s="2" customFormat="1" x14ac:dyDescent="0.2">
      <c r="A16" s="54" t="s">
        <v>13</v>
      </c>
      <c r="B16" s="57">
        <v>2464005</v>
      </c>
      <c r="C16" s="57"/>
      <c r="D16" s="57">
        <v>3599700</v>
      </c>
      <c r="E16" s="57">
        <v>1960138</v>
      </c>
      <c r="F16" s="57">
        <v>2362378</v>
      </c>
      <c r="G16" s="57">
        <v>2768113</v>
      </c>
      <c r="H16" s="57">
        <v>3084096</v>
      </c>
      <c r="I16" s="57">
        <v>4983794</v>
      </c>
      <c r="J16" s="57">
        <v>5978636</v>
      </c>
      <c r="K16" s="57">
        <v>13416358</v>
      </c>
      <c r="L16" s="57">
        <v>18460711</v>
      </c>
      <c r="M16" s="57">
        <v>20804501</v>
      </c>
      <c r="N16" s="57">
        <v>25382421</v>
      </c>
      <c r="O16" s="57">
        <v>25360098</v>
      </c>
      <c r="P16" s="57">
        <v>30743961</v>
      </c>
      <c r="Q16" s="57">
        <v>34674792</v>
      </c>
      <c r="R16" s="57">
        <v>37655007</v>
      </c>
      <c r="S16" s="57">
        <v>48901308</v>
      </c>
      <c r="T16" s="57">
        <v>48908220</v>
      </c>
      <c r="U16" s="57">
        <v>59840557</v>
      </c>
      <c r="V16" s="57">
        <v>69855264</v>
      </c>
      <c r="W16" s="57">
        <v>87999130</v>
      </c>
      <c r="X16" s="57">
        <v>103710403</v>
      </c>
      <c r="Y16" s="57">
        <v>115880924</v>
      </c>
      <c r="Z16" s="57">
        <v>125507729</v>
      </c>
      <c r="AA16" s="57">
        <v>144638627</v>
      </c>
      <c r="AB16" s="57">
        <v>152360708</v>
      </c>
      <c r="AC16" s="57">
        <v>179780895</v>
      </c>
      <c r="AD16" s="57">
        <v>231178798</v>
      </c>
      <c r="AE16" s="57">
        <v>235055072</v>
      </c>
      <c r="AF16" s="57">
        <v>278583513</v>
      </c>
      <c r="AG16" s="57">
        <v>275376620</v>
      </c>
      <c r="AH16" s="57">
        <v>283684675</v>
      </c>
      <c r="AI16" s="57">
        <v>271788416</v>
      </c>
      <c r="AJ16" s="57">
        <v>260885508</v>
      </c>
      <c r="AK16" s="57">
        <v>226942603</v>
      </c>
      <c r="AL16" s="57">
        <v>230083276</v>
      </c>
      <c r="AM16" s="57">
        <v>217032294</v>
      </c>
      <c r="AN16" s="57">
        <v>232015326</v>
      </c>
      <c r="AO16" s="57">
        <v>189331486</v>
      </c>
      <c r="AP16" s="57">
        <v>168563499</v>
      </c>
      <c r="AQ16" s="57">
        <v>116167400</v>
      </c>
      <c r="AR16" s="57">
        <v>95719768</v>
      </c>
      <c r="AS16" s="57">
        <v>99133333</v>
      </c>
      <c r="AT16" s="57">
        <v>86623064</v>
      </c>
      <c r="AU16" s="57">
        <v>95316575</v>
      </c>
      <c r="AV16" s="57"/>
    </row>
    <row r="17" spans="1:48" s="2" customFormat="1" x14ac:dyDescent="0.2">
      <c r="A17" s="54" t="s">
        <v>14</v>
      </c>
      <c r="B17" s="57">
        <v>740924</v>
      </c>
      <c r="C17" s="57"/>
      <c r="D17" s="57">
        <v>849261</v>
      </c>
      <c r="E17" s="57">
        <v>389338</v>
      </c>
      <c r="F17" s="57">
        <v>278100</v>
      </c>
      <c r="G17" s="57">
        <v>406041</v>
      </c>
      <c r="H17" s="57">
        <v>589011</v>
      </c>
      <c r="I17" s="57">
        <v>621398</v>
      </c>
      <c r="J17" s="57">
        <v>4478531</v>
      </c>
      <c r="K17" s="57">
        <v>16775794</v>
      </c>
      <c r="L17" s="57">
        <v>19823590</v>
      </c>
      <c r="M17" s="57">
        <v>28462981</v>
      </c>
      <c r="N17" s="57">
        <v>31047935</v>
      </c>
      <c r="O17" s="57">
        <v>36165722</v>
      </c>
      <c r="P17" s="57">
        <v>34765904</v>
      </c>
      <c r="Q17" s="57">
        <v>42183924</v>
      </c>
      <c r="R17" s="57">
        <v>47615241</v>
      </c>
      <c r="S17" s="57">
        <v>41492738</v>
      </c>
      <c r="T17" s="57">
        <v>45718688</v>
      </c>
      <c r="U17" s="57">
        <v>59091919</v>
      </c>
      <c r="V17" s="57">
        <v>85486029</v>
      </c>
      <c r="W17" s="57">
        <v>121648396</v>
      </c>
      <c r="X17" s="57">
        <v>139748202</v>
      </c>
      <c r="Y17" s="57">
        <v>138611833</v>
      </c>
      <c r="Z17" s="57">
        <v>122237776</v>
      </c>
      <c r="AA17" s="57">
        <v>129175250</v>
      </c>
      <c r="AB17" s="57">
        <v>132973278</v>
      </c>
      <c r="AC17" s="57">
        <v>148708585</v>
      </c>
      <c r="AD17" s="57">
        <v>153363753</v>
      </c>
      <c r="AE17" s="57">
        <v>167309807</v>
      </c>
      <c r="AF17" s="57">
        <v>229087705</v>
      </c>
      <c r="AG17" s="57">
        <v>247554550</v>
      </c>
      <c r="AH17" s="57">
        <v>235470926</v>
      </c>
      <c r="AI17" s="57">
        <v>214162671</v>
      </c>
      <c r="AJ17" s="57">
        <v>251225450</v>
      </c>
      <c r="AK17" s="57">
        <v>176095868</v>
      </c>
      <c r="AL17" s="57">
        <v>162248961</v>
      </c>
      <c r="AM17" s="57">
        <v>127390084</v>
      </c>
      <c r="AN17" s="57">
        <v>105567619</v>
      </c>
      <c r="AO17" s="57">
        <v>97384997</v>
      </c>
      <c r="AP17" s="57">
        <v>99955530</v>
      </c>
      <c r="AQ17" s="57">
        <v>83594872</v>
      </c>
      <c r="AR17" s="57">
        <v>80300443</v>
      </c>
      <c r="AS17" s="57">
        <v>76444797</v>
      </c>
      <c r="AT17" s="57">
        <v>63771154</v>
      </c>
      <c r="AU17" s="57">
        <v>55563328</v>
      </c>
      <c r="AV17" s="57"/>
    </row>
    <row r="18" spans="1:48" s="2" customFormat="1" x14ac:dyDescent="0.2">
      <c r="A18" s="54" t="s">
        <v>15</v>
      </c>
      <c r="B18" s="57">
        <v>50565</v>
      </c>
      <c r="C18" s="57">
        <v>1577008</v>
      </c>
      <c r="D18" s="57">
        <v>-806196</v>
      </c>
      <c r="E18" s="57">
        <f>E19+2081581</f>
        <v>1767451</v>
      </c>
      <c r="F18" s="57">
        <f>F19+119963</f>
        <v>860115</v>
      </c>
      <c r="G18" s="57">
        <f>G19+97069-505018</f>
        <v>1030579</v>
      </c>
      <c r="H18" s="57">
        <f>H19+1431214-265824</f>
        <v>1332717</v>
      </c>
      <c r="I18" s="57">
        <f>I19+336117-2082378</f>
        <v>636589</v>
      </c>
      <c r="J18" s="57">
        <f>J19+717999-1491983</f>
        <v>6867812</v>
      </c>
      <c r="K18" s="57">
        <f>K19+937700-667977</f>
        <v>1271400</v>
      </c>
      <c r="L18" s="57">
        <f>L19+7775228-4722878</f>
        <v>2523975</v>
      </c>
      <c r="M18" s="57">
        <f>M19+5107719-196308</f>
        <v>4119152</v>
      </c>
      <c r="N18" s="57">
        <f>N19+3051418-528000</f>
        <v>4649625</v>
      </c>
      <c r="O18" s="57">
        <f>O19+5810437-579600</f>
        <v>2352233</v>
      </c>
      <c r="P18" s="57">
        <f>P19+7264928-264060</f>
        <v>9610240</v>
      </c>
      <c r="Q18" s="57">
        <v>15553213</v>
      </c>
      <c r="R18" s="57">
        <v>12025624</v>
      </c>
      <c r="S18" s="57">
        <v>7470023</v>
      </c>
      <c r="T18" s="57">
        <v>6738615</v>
      </c>
      <c r="U18" s="57">
        <v>33075192</v>
      </c>
      <c r="V18" s="57">
        <v>59821660</v>
      </c>
      <c r="W18" s="57">
        <v>36972362</v>
      </c>
      <c r="X18" s="57">
        <v>73789585</v>
      </c>
      <c r="Y18" s="57">
        <v>76028591</v>
      </c>
      <c r="Z18" s="57">
        <v>119815804</v>
      </c>
      <c r="AA18" s="57">
        <v>119775996</v>
      </c>
      <c r="AB18" s="57">
        <v>119477691</v>
      </c>
      <c r="AC18" s="57">
        <v>107343438</v>
      </c>
      <c r="AD18" s="57">
        <v>109847337</v>
      </c>
      <c r="AE18" s="57">
        <v>150689480</v>
      </c>
      <c r="AF18" s="57">
        <v>159023436</v>
      </c>
      <c r="AG18" s="57">
        <v>102779185</v>
      </c>
      <c r="AH18" s="57">
        <v>123176197</v>
      </c>
      <c r="AI18" s="57">
        <v>125374077</v>
      </c>
      <c r="AJ18" s="57">
        <v>65767712</v>
      </c>
      <c r="AK18" s="57">
        <v>120832336</v>
      </c>
      <c r="AL18" s="57">
        <v>58767807</v>
      </c>
      <c r="AM18" s="57">
        <v>60815871</v>
      </c>
      <c r="AN18" s="57">
        <v>43685204</v>
      </c>
      <c r="AO18" s="57">
        <v>59770697</v>
      </c>
      <c r="AP18" s="57">
        <v>24395105</v>
      </c>
      <c r="AQ18" s="57">
        <v>72875173</v>
      </c>
      <c r="AR18" s="57">
        <v>54100393</v>
      </c>
      <c r="AS18" s="57">
        <v>31360623</v>
      </c>
      <c r="AT18" s="57">
        <v>37268594</v>
      </c>
      <c r="AU18" s="57">
        <v>59680924</v>
      </c>
      <c r="AV18" s="57"/>
    </row>
    <row r="19" spans="1:48" s="2" customFormat="1" x14ac:dyDescent="0.2">
      <c r="A19" s="54" t="s">
        <v>137</v>
      </c>
      <c r="B19" s="57">
        <f>7255976-3978921-3204929</f>
        <v>72126</v>
      </c>
      <c r="C19" s="57">
        <f>6574610-3389045-5021945</f>
        <v>-1836380</v>
      </c>
      <c r="D19" s="57">
        <f>3006901-2617242-4448961</f>
        <v>-4059302</v>
      </c>
      <c r="E19" s="57">
        <f>6306032-4270686-2349476</f>
        <v>-314130</v>
      </c>
      <c r="F19" s="57">
        <f>8719850-5339220-2640478</f>
        <v>740152</v>
      </c>
      <c r="G19" s="57">
        <f>11171727-6559045-3174154</f>
        <v>1438528</v>
      </c>
      <c r="H19" s="57">
        <f>10589557-6749123-3673107</f>
        <v>167327</v>
      </c>
      <c r="I19" s="57">
        <f>18256921-10268879-5605192</f>
        <v>2382850</v>
      </c>
      <c r="J19" s="57">
        <f>30780421-12681458-10457167</f>
        <v>7641796</v>
      </c>
      <c r="K19" s="57">
        <f>56639919-25446090-30192152</f>
        <v>1001677</v>
      </c>
      <c r="L19" s="57">
        <f>71164229-32408303-39284301</f>
        <v>-528375</v>
      </c>
      <c r="M19" s="57">
        <f>82187558-34312335-48667482</f>
        <v>-792259</v>
      </c>
      <c r="N19" s="57">
        <f>95752432-37195869-56430356</f>
        <v>2126207</v>
      </c>
      <c r="O19" s="57">
        <f>88871087-30223871-61525820</f>
        <v>-2878604</v>
      </c>
      <c r="P19" s="57">
        <f>97514819-29395582-65509865</f>
        <v>2609372</v>
      </c>
      <c r="Q19" s="57">
        <v>10180822</v>
      </c>
      <c r="R19" s="57">
        <v>9451395</v>
      </c>
      <c r="S19" s="57">
        <v>-1446744</v>
      </c>
      <c r="T19" s="57">
        <v>5737693</v>
      </c>
      <c r="U19" s="57">
        <v>35156642</v>
      </c>
      <c r="V19" s="57">
        <v>60867758</v>
      </c>
      <c r="W19" s="57">
        <v>33727347</v>
      </c>
      <c r="X19" s="57">
        <v>69394481</v>
      </c>
      <c r="Y19" s="57">
        <v>69299278</v>
      </c>
      <c r="Z19" s="57">
        <v>119560429</v>
      </c>
      <c r="AA19" s="57">
        <v>112528679</v>
      </c>
      <c r="AB19" s="57">
        <v>113595072</v>
      </c>
      <c r="AC19" s="57">
        <v>105450199</v>
      </c>
      <c r="AD19" s="57">
        <v>108262305</v>
      </c>
      <c r="AE19" s="57">
        <v>140375857</v>
      </c>
      <c r="AF19" s="57">
        <v>152115256</v>
      </c>
      <c r="AG19" s="57">
        <v>96898236</v>
      </c>
      <c r="AH19" s="57">
        <v>118107210</v>
      </c>
      <c r="AI19" s="57">
        <v>114240307</v>
      </c>
      <c r="AJ19" s="57">
        <v>63067175</v>
      </c>
      <c r="AK19" s="57">
        <v>117620495</v>
      </c>
      <c r="AL19" s="57">
        <v>47916539</v>
      </c>
      <c r="AM19" s="57">
        <v>47564492</v>
      </c>
      <c r="AN19" s="57">
        <v>24665844</v>
      </c>
      <c r="AO19" s="57">
        <v>41386856</v>
      </c>
      <c r="AP19" s="57">
        <v>10738272</v>
      </c>
      <c r="AQ19" s="57">
        <v>62087383</v>
      </c>
      <c r="AR19" s="57">
        <v>48006468</v>
      </c>
      <c r="AS19" s="57">
        <v>24579232</v>
      </c>
      <c r="AT19" s="57">
        <v>25899366</v>
      </c>
      <c r="AU19" s="57">
        <v>4478488</v>
      </c>
      <c r="AV19" s="57"/>
    </row>
    <row r="20" spans="1:48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</row>
    <row r="21" spans="1:48" x14ac:dyDescent="0.2">
      <c r="A21" s="51" t="s">
        <v>18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</row>
    <row r="22" spans="1:48" s="2" customFormat="1" x14ac:dyDescent="0.2">
      <c r="A22" s="54" t="s">
        <v>19</v>
      </c>
      <c r="B22" s="52">
        <f t="shared" ref="B22:AV22" si="4">B14</f>
        <v>56467806</v>
      </c>
      <c r="C22" s="52">
        <f t="shared" si="4"/>
        <v>27852749</v>
      </c>
      <c r="D22" s="52">
        <f t="shared" si="4"/>
        <v>38742267</v>
      </c>
      <c r="E22" s="52">
        <f t="shared" si="4"/>
        <v>39729896</v>
      </c>
      <c r="F22" s="52">
        <f t="shared" si="4"/>
        <v>68839790</v>
      </c>
      <c r="G22" s="52">
        <f t="shared" si="4"/>
        <v>72944271</v>
      </c>
      <c r="H22" s="52">
        <f t="shared" si="4"/>
        <v>77292930</v>
      </c>
      <c r="I22" s="52">
        <f t="shared" si="4"/>
        <v>137603039</v>
      </c>
      <c r="J22" s="52">
        <f t="shared" si="4"/>
        <v>210117433</v>
      </c>
      <c r="K22" s="52">
        <f t="shared" si="4"/>
        <v>340906414</v>
      </c>
      <c r="L22" s="52">
        <f t="shared" si="4"/>
        <v>462114153</v>
      </c>
      <c r="M22" s="52">
        <f t="shared" si="4"/>
        <v>605317992</v>
      </c>
      <c r="N22" s="52">
        <f t="shared" si="4"/>
        <v>610811443</v>
      </c>
      <c r="O22" s="52">
        <f t="shared" si="4"/>
        <v>548117784</v>
      </c>
      <c r="P22" s="52">
        <f t="shared" si="4"/>
        <v>977261801</v>
      </c>
      <c r="Q22" s="52">
        <f t="shared" si="4"/>
        <v>1148075293</v>
      </c>
      <c r="R22" s="52">
        <f t="shared" si="4"/>
        <v>1336722065</v>
      </c>
      <c r="S22" s="52">
        <f t="shared" si="4"/>
        <v>1574665736</v>
      </c>
      <c r="T22" s="52">
        <f t="shared" si="4"/>
        <v>1909467695</v>
      </c>
      <c r="U22" s="52">
        <f t="shared" si="4"/>
        <v>2233860907</v>
      </c>
      <c r="V22" s="52">
        <f t="shared" si="4"/>
        <v>2564628088</v>
      </c>
      <c r="W22" s="52">
        <f t="shared" si="4"/>
        <v>2932720782</v>
      </c>
      <c r="X22" s="52">
        <f t="shared" si="4"/>
        <v>3060330824</v>
      </c>
      <c r="Y22" s="52">
        <f t="shared" si="4"/>
        <v>3581582216</v>
      </c>
      <c r="Z22" s="52">
        <f t="shared" si="4"/>
        <v>4003922329</v>
      </c>
      <c r="AA22" s="52">
        <f t="shared" si="4"/>
        <v>4102242138</v>
      </c>
      <c r="AB22" s="52">
        <f t="shared" si="4"/>
        <v>4585975330</v>
      </c>
      <c r="AC22" s="52">
        <f t="shared" si="4"/>
        <v>5415534204</v>
      </c>
      <c r="AD22" s="52">
        <f t="shared" si="4"/>
        <v>6058496101</v>
      </c>
      <c r="AE22" s="52">
        <f t="shared" si="4"/>
        <v>6925468079</v>
      </c>
      <c r="AF22" s="52">
        <f t="shared" si="4"/>
        <v>7566202310</v>
      </c>
      <c r="AG22" s="52">
        <f t="shared" si="4"/>
        <v>7970472842</v>
      </c>
      <c r="AH22" s="52">
        <f t="shared" si="4"/>
        <v>7839237083</v>
      </c>
      <c r="AI22" s="52">
        <f t="shared" si="4"/>
        <v>7465974646</v>
      </c>
      <c r="AJ22" s="52">
        <f t="shared" si="4"/>
        <v>7115508024</v>
      </c>
      <c r="AK22" s="52">
        <f t="shared" si="4"/>
        <v>6167948401</v>
      </c>
      <c r="AL22" s="52">
        <f t="shared" si="4"/>
        <v>5334141026</v>
      </c>
      <c r="AM22" s="52">
        <f t="shared" si="4"/>
        <v>4947628206</v>
      </c>
      <c r="AN22" s="52">
        <f t="shared" si="4"/>
        <v>4557057492</v>
      </c>
      <c r="AO22" s="52">
        <f t="shared" si="4"/>
        <v>4070098489</v>
      </c>
      <c r="AP22" s="52">
        <f t="shared" si="4"/>
        <v>3495128155</v>
      </c>
      <c r="AQ22" s="52">
        <f t="shared" si="4"/>
        <v>3141588026</v>
      </c>
      <c r="AR22" s="52">
        <f t="shared" si="4"/>
        <v>2815395687</v>
      </c>
      <c r="AS22" s="52">
        <f t="shared" si="4"/>
        <v>2434952629</v>
      </c>
      <c r="AT22" s="52">
        <f t="shared" si="4"/>
        <v>2104718322</v>
      </c>
      <c r="AU22" s="52">
        <f t="shared" si="4"/>
        <v>1894483733</v>
      </c>
      <c r="AV22" s="52">
        <f t="shared" si="4"/>
        <v>0</v>
      </c>
    </row>
    <row r="23" spans="1:48" s="2" customFormat="1" x14ac:dyDescent="0.2">
      <c r="A23" s="54" t="s">
        <v>20</v>
      </c>
      <c r="B23" s="52">
        <f t="shared" ref="B23:AV23" si="5">B14</f>
        <v>56467806</v>
      </c>
      <c r="C23" s="52">
        <f t="shared" si="5"/>
        <v>27852749</v>
      </c>
      <c r="D23" s="52">
        <f t="shared" si="5"/>
        <v>38742267</v>
      </c>
      <c r="E23" s="52">
        <f t="shared" si="5"/>
        <v>39729896</v>
      </c>
      <c r="F23" s="52">
        <f t="shared" si="5"/>
        <v>68839790</v>
      </c>
      <c r="G23" s="52">
        <f t="shared" si="5"/>
        <v>72944271</v>
      </c>
      <c r="H23" s="52">
        <f t="shared" si="5"/>
        <v>77292930</v>
      </c>
      <c r="I23" s="52">
        <f t="shared" si="5"/>
        <v>137603039</v>
      </c>
      <c r="J23" s="52">
        <f t="shared" si="5"/>
        <v>210117433</v>
      </c>
      <c r="K23" s="52">
        <f t="shared" si="5"/>
        <v>340906414</v>
      </c>
      <c r="L23" s="52">
        <f t="shared" si="5"/>
        <v>462114153</v>
      </c>
      <c r="M23" s="52">
        <f t="shared" si="5"/>
        <v>605317992</v>
      </c>
      <c r="N23" s="52">
        <f t="shared" si="5"/>
        <v>610811443</v>
      </c>
      <c r="O23" s="52">
        <f t="shared" si="5"/>
        <v>548117784</v>
      </c>
      <c r="P23" s="52">
        <f t="shared" si="5"/>
        <v>977261801</v>
      </c>
      <c r="Q23" s="52">
        <f t="shared" si="5"/>
        <v>1148075293</v>
      </c>
      <c r="R23" s="52">
        <f t="shared" si="5"/>
        <v>1336722065</v>
      </c>
      <c r="S23" s="52">
        <f t="shared" si="5"/>
        <v>1574665736</v>
      </c>
      <c r="T23" s="52">
        <f t="shared" si="5"/>
        <v>1909467695</v>
      </c>
      <c r="U23" s="52">
        <f t="shared" si="5"/>
        <v>2233860907</v>
      </c>
      <c r="V23" s="52">
        <f t="shared" si="5"/>
        <v>2564628088</v>
      </c>
      <c r="W23" s="52">
        <f t="shared" si="5"/>
        <v>2932720782</v>
      </c>
      <c r="X23" s="52">
        <f t="shared" si="5"/>
        <v>3060330824</v>
      </c>
      <c r="Y23" s="52">
        <f t="shared" si="5"/>
        <v>3581582216</v>
      </c>
      <c r="Z23" s="52">
        <f t="shared" si="5"/>
        <v>4003922329</v>
      </c>
      <c r="AA23" s="52">
        <f t="shared" si="5"/>
        <v>4102242138</v>
      </c>
      <c r="AB23" s="52">
        <f t="shared" si="5"/>
        <v>4585975330</v>
      </c>
      <c r="AC23" s="52">
        <f t="shared" si="5"/>
        <v>5415534204</v>
      </c>
      <c r="AD23" s="52">
        <f t="shared" si="5"/>
        <v>6058496101</v>
      </c>
      <c r="AE23" s="52">
        <f t="shared" si="5"/>
        <v>6925468079</v>
      </c>
      <c r="AF23" s="52">
        <f t="shared" si="5"/>
        <v>7566202310</v>
      </c>
      <c r="AG23" s="52">
        <f t="shared" si="5"/>
        <v>7970472842</v>
      </c>
      <c r="AH23" s="52">
        <f t="shared" si="5"/>
        <v>7839237083</v>
      </c>
      <c r="AI23" s="52">
        <f t="shared" si="5"/>
        <v>7465974646</v>
      </c>
      <c r="AJ23" s="52">
        <f t="shared" si="5"/>
        <v>7115508024</v>
      </c>
      <c r="AK23" s="52">
        <f t="shared" si="5"/>
        <v>6167948401</v>
      </c>
      <c r="AL23" s="52">
        <f t="shared" si="5"/>
        <v>5334141026</v>
      </c>
      <c r="AM23" s="52">
        <f t="shared" si="5"/>
        <v>4947628206</v>
      </c>
      <c r="AN23" s="52">
        <f t="shared" si="5"/>
        <v>4557057492</v>
      </c>
      <c r="AO23" s="52">
        <f t="shared" si="5"/>
        <v>4070098489</v>
      </c>
      <c r="AP23" s="52">
        <f t="shared" si="5"/>
        <v>3495128155</v>
      </c>
      <c r="AQ23" s="52">
        <f t="shared" si="5"/>
        <v>3141588026</v>
      </c>
      <c r="AR23" s="52">
        <f t="shared" si="5"/>
        <v>2815395687</v>
      </c>
      <c r="AS23" s="52">
        <f t="shared" si="5"/>
        <v>2434952629</v>
      </c>
      <c r="AT23" s="52">
        <f t="shared" si="5"/>
        <v>2104718322</v>
      </c>
      <c r="AU23" s="52">
        <f t="shared" si="5"/>
        <v>1894483733</v>
      </c>
      <c r="AV23" s="52">
        <f t="shared" si="5"/>
        <v>0</v>
      </c>
    </row>
    <row r="24" spans="1:48" s="2" customFormat="1" x14ac:dyDescent="0.2">
      <c r="A24" s="54" t="s">
        <v>21</v>
      </c>
      <c r="B24" s="57">
        <v>60000000</v>
      </c>
      <c r="C24" s="57">
        <v>39000000</v>
      </c>
      <c r="D24" s="57">
        <v>45000000</v>
      </c>
      <c r="E24" s="57">
        <v>55000000</v>
      </c>
      <c r="F24" s="57">
        <v>101900000</v>
      </c>
      <c r="G24" s="57">
        <v>86100000</v>
      </c>
      <c r="H24" s="57">
        <v>78600000</v>
      </c>
      <c r="I24" s="57">
        <v>183100000</v>
      </c>
      <c r="J24" s="57">
        <v>272600000</v>
      </c>
      <c r="K24" s="57">
        <v>321550000</v>
      </c>
      <c r="L24" s="57">
        <v>393657000</v>
      </c>
      <c r="M24" s="57">
        <v>604980400</v>
      </c>
      <c r="N24" s="57">
        <v>645000000</v>
      </c>
      <c r="O24" s="57">
        <v>590000000</v>
      </c>
      <c r="P24" s="57">
        <v>905000000</v>
      </c>
      <c r="Q24" s="57">
        <v>1058099869</v>
      </c>
      <c r="R24" s="57">
        <v>1261886480</v>
      </c>
      <c r="S24" s="57">
        <v>1420160735</v>
      </c>
      <c r="T24" s="57">
        <v>1694146360</v>
      </c>
      <c r="U24" s="57">
        <v>1979916857</v>
      </c>
      <c r="V24" s="57">
        <v>2235884261</v>
      </c>
      <c r="W24" s="57">
        <v>2643455535</v>
      </c>
      <c r="X24" s="57">
        <v>2719527471</v>
      </c>
      <c r="Y24" s="57">
        <v>3153997281</v>
      </c>
      <c r="Z24" s="57">
        <v>3500310515</v>
      </c>
      <c r="AA24" s="57">
        <v>3552011194</v>
      </c>
      <c r="AB24" s="57">
        <v>3935335449</v>
      </c>
      <c r="AC24" s="57">
        <v>4214754287</v>
      </c>
      <c r="AD24" s="57">
        <v>4862000000</v>
      </c>
      <c r="AE24" s="57">
        <v>5393531577</v>
      </c>
      <c r="AF24" s="57">
        <v>5722201988</v>
      </c>
      <c r="AG24" s="57">
        <v>6169460796</v>
      </c>
      <c r="AH24" s="57">
        <v>6025694408</v>
      </c>
      <c r="AI24" s="57">
        <v>5707401544</v>
      </c>
      <c r="AJ24" s="57">
        <v>5209257778</v>
      </c>
      <c r="AK24" s="57">
        <v>4768492682</v>
      </c>
      <c r="AL24" s="57">
        <v>4479998866</v>
      </c>
      <c r="AM24" s="57">
        <v>3911871805</v>
      </c>
      <c r="AN24" s="57">
        <v>3500290961</v>
      </c>
      <c r="AO24" s="57">
        <v>3142982057</v>
      </c>
      <c r="AP24" s="57">
        <v>2615026484</v>
      </c>
      <c r="AQ24" s="57">
        <v>2287394117</v>
      </c>
      <c r="AR24" s="57">
        <v>1873861231</v>
      </c>
      <c r="AS24" s="57">
        <v>1548811522</v>
      </c>
      <c r="AT24" s="57">
        <v>1268932009</v>
      </c>
      <c r="AU24" s="57">
        <v>1058581768</v>
      </c>
      <c r="AV24" s="57"/>
    </row>
    <row r="25" spans="1:48" s="2" customFormat="1" x14ac:dyDescent="0.2">
      <c r="A25" s="54" t="s">
        <v>3</v>
      </c>
      <c r="B25" s="57">
        <v>507500</v>
      </c>
      <c r="C25" s="57">
        <v>991000</v>
      </c>
      <c r="D25" s="57">
        <v>891000</v>
      </c>
      <c r="E25" s="57">
        <v>1240500</v>
      </c>
      <c r="F25" s="57">
        <v>1761000</v>
      </c>
      <c r="G25" s="57">
        <v>2106000</v>
      </c>
      <c r="H25" s="57">
        <v>2214000</v>
      </c>
      <c r="I25" s="57">
        <v>2846000</v>
      </c>
      <c r="J25" s="57">
        <v>2808000</v>
      </c>
      <c r="K25" s="57">
        <v>5998500</v>
      </c>
      <c r="L25" s="57">
        <v>11698969</v>
      </c>
      <c r="M25" s="57">
        <v>18147500</v>
      </c>
      <c r="N25" s="57">
        <v>21274000</v>
      </c>
      <c r="O25" s="57">
        <v>24246331</v>
      </c>
      <c r="P25" s="57">
        <v>106193674</v>
      </c>
      <c r="Q25" s="57">
        <v>117599803</v>
      </c>
      <c r="R25" s="57">
        <v>131227450</v>
      </c>
      <c r="S25" s="57">
        <v>138978980</v>
      </c>
      <c r="T25" s="57">
        <v>160903445</v>
      </c>
      <c r="U25" s="57">
        <v>181076991</v>
      </c>
      <c r="V25" s="57">
        <v>222661591</v>
      </c>
      <c r="W25" s="57">
        <v>256665890</v>
      </c>
      <c r="X25" s="57">
        <v>281799053</v>
      </c>
      <c r="Y25" s="57">
        <v>325628242</v>
      </c>
      <c r="Z25" s="57">
        <v>359110500</v>
      </c>
      <c r="AA25" s="57">
        <v>400766500</v>
      </c>
      <c r="AB25" s="57">
        <v>456753500</v>
      </c>
      <c r="AC25" s="57">
        <v>526283000</v>
      </c>
      <c r="AD25" s="57">
        <v>610693000</v>
      </c>
      <c r="AE25" s="57">
        <v>767294500</v>
      </c>
      <c r="AF25" s="57">
        <v>898358000</v>
      </c>
      <c r="AG25" s="57">
        <v>998373500</v>
      </c>
      <c r="AH25" s="57">
        <v>1014793500</v>
      </c>
      <c r="AI25" s="57">
        <v>1063673000</v>
      </c>
      <c r="AJ25" s="57">
        <v>1073210000</v>
      </c>
      <c r="AK25" s="57">
        <v>944397500</v>
      </c>
      <c r="AL25" s="57">
        <v>910822500</v>
      </c>
      <c r="AM25" s="57">
        <v>882198500</v>
      </c>
      <c r="AN25" s="57">
        <v>857604500</v>
      </c>
      <c r="AO25" s="57">
        <v>813657000</v>
      </c>
      <c r="AP25" s="57">
        <v>783969000</v>
      </c>
      <c r="AQ25" s="57">
        <v>768776000</v>
      </c>
      <c r="AR25" s="57">
        <v>815266000</v>
      </c>
      <c r="AS25" s="57">
        <v>757387000</v>
      </c>
      <c r="AT25" s="57">
        <v>730070000</v>
      </c>
      <c r="AU25" s="57">
        <v>700307500</v>
      </c>
      <c r="AV25" s="57"/>
    </row>
    <row r="26" spans="1:48" s="2" customFormat="1" x14ac:dyDescent="0.2">
      <c r="A26" s="54" t="s">
        <v>4</v>
      </c>
      <c r="B26" s="57">
        <f>467763+48000</f>
        <v>515763</v>
      </c>
      <c r="C26" s="57">
        <v>-1265578</v>
      </c>
      <c r="D26" s="57">
        <v>-2006229</v>
      </c>
      <c r="E26" s="57">
        <v>-123689</v>
      </c>
      <c r="F26" s="57">
        <v>141455</v>
      </c>
      <c r="G26" s="57">
        <v>1323534</v>
      </c>
      <c r="H26" s="57">
        <v>2733427</v>
      </c>
      <c r="I26" s="57">
        <f>434145+968240</f>
        <v>1402385</v>
      </c>
      <c r="J26" s="57">
        <f>434145+7286799</f>
        <v>7720944</v>
      </c>
      <c r="K26" s="57">
        <f>1064145+3848329</f>
        <v>4912474</v>
      </c>
      <c r="L26" s="57">
        <f>1344145+5357686</f>
        <v>6701831</v>
      </c>
      <c r="M26" s="57">
        <f>1944145+1010000+2707744</f>
        <v>5661889</v>
      </c>
      <c r="N26" s="57">
        <f>2244145+1160000+3312494</f>
        <v>6716639</v>
      </c>
      <c r="O26" s="57">
        <v>6275288</v>
      </c>
      <c r="P26" s="57">
        <v>8057146</v>
      </c>
      <c r="Q26" s="57">
        <v>14486841</v>
      </c>
      <c r="R26" s="57">
        <v>15264177</v>
      </c>
      <c r="S26" s="57">
        <v>18943976</v>
      </c>
      <c r="T26" s="57">
        <v>17100574</v>
      </c>
      <c r="U26" s="57">
        <v>40039560</v>
      </c>
      <c r="V26" s="57">
        <v>58683367</v>
      </c>
      <c r="W26" s="57">
        <v>68707809</v>
      </c>
      <c r="X26" s="57">
        <v>107187895</v>
      </c>
      <c r="Y26" s="57">
        <v>132176267</v>
      </c>
      <c r="Z26" s="57">
        <v>181046564</v>
      </c>
      <c r="AA26" s="57">
        <v>223636189</v>
      </c>
      <c r="AB26" s="57">
        <v>262129230</v>
      </c>
      <c r="AC26" s="57">
        <v>293222673</v>
      </c>
      <c r="AD26" s="57">
        <v>321397928</v>
      </c>
      <c r="AE26" s="57">
        <v>379443377</v>
      </c>
      <c r="AF26" s="57">
        <v>441066319</v>
      </c>
      <c r="AG26" s="57">
        <v>458929196</v>
      </c>
      <c r="AH26" s="57">
        <v>485045125</v>
      </c>
      <c r="AI26" s="57">
        <v>532630554</v>
      </c>
      <c r="AJ26" s="57">
        <v>536411203</v>
      </c>
      <c r="AK26" s="57">
        <v>596461234</v>
      </c>
      <c r="AL26" s="57">
        <v>606555044</v>
      </c>
      <c r="AM26" s="57">
        <v>362713163</v>
      </c>
      <c r="AN26" s="57">
        <v>599959685</v>
      </c>
      <c r="AO26" s="57">
        <v>623020770</v>
      </c>
      <c r="AP26" s="57">
        <v>634730392</v>
      </c>
      <c r="AQ26" s="57">
        <v>681419859</v>
      </c>
      <c r="AR26" s="57">
        <v>709618038</v>
      </c>
      <c r="AS26" s="57">
        <v>721941240</v>
      </c>
      <c r="AT26" s="57">
        <v>741193289</v>
      </c>
      <c r="AU26" s="57">
        <v>780542358</v>
      </c>
      <c r="AV26" s="57"/>
    </row>
    <row r="27" spans="1:48" s="2" customFormat="1" x14ac:dyDescent="0.2">
      <c r="A27" s="54" t="s">
        <v>22</v>
      </c>
      <c r="B27" s="52">
        <f t="shared" ref="B27:AV27" si="6">B9</f>
        <v>1023263</v>
      </c>
      <c r="C27" s="52">
        <f t="shared" si="6"/>
        <v>-274578</v>
      </c>
      <c r="D27" s="52">
        <f t="shared" si="6"/>
        <v>-1115229</v>
      </c>
      <c r="E27" s="52">
        <f t="shared" si="6"/>
        <v>1116811</v>
      </c>
      <c r="F27" s="52">
        <f t="shared" si="6"/>
        <v>1902455</v>
      </c>
      <c r="G27" s="52">
        <f t="shared" si="6"/>
        <v>3429534</v>
      </c>
      <c r="H27" s="52">
        <f t="shared" si="6"/>
        <v>4947427</v>
      </c>
      <c r="I27" s="52">
        <f t="shared" si="6"/>
        <v>4248385</v>
      </c>
      <c r="J27" s="52">
        <f t="shared" si="6"/>
        <v>10528944</v>
      </c>
      <c r="K27" s="52">
        <f t="shared" si="6"/>
        <v>10910974</v>
      </c>
      <c r="L27" s="52">
        <f t="shared" si="6"/>
        <v>18400800</v>
      </c>
      <c r="M27" s="52">
        <f t="shared" si="6"/>
        <v>23809389</v>
      </c>
      <c r="N27" s="52">
        <f t="shared" si="6"/>
        <v>27990639</v>
      </c>
      <c r="O27" s="52">
        <f t="shared" si="6"/>
        <v>30521619</v>
      </c>
      <c r="P27" s="52">
        <f t="shared" si="6"/>
        <v>114250820</v>
      </c>
      <c r="Q27" s="52">
        <f t="shared" si="6"/>
        <v>132086644</v>
      </c>
      <c r="R27" s="52">
        <f t="shared" si="6"/>
        <v>146491627</v>
      </c>
      <c r="S27" s="52">
        <f t="shared" si="6"/>
        <v>157922956</v>
      </c>
      <c r="T27" s="52">
        <f t="shared" si="6"/>
        <v>178004019</v>
      </c>
      <c r="U27" s="52">
        <f t="shared" si="6"/>
        <v>221116551</v>
      </c>
      <c r="V27" s="52">
        <f t="shared" si="6"/>
        <v>281344958</v>
      </c>
      <c r="W27" s="52">
        <f t="shared" si="6"/>
        <v>325373699</v>
      </c>
      <c r="X27" s="52">
        <f t="shared" si="6"/>
        <v>388986948</v>
      </c>
      <c r="Y27" s="52">
        <f t="shared" si="6"/>
        <v>457804509</v>
      </c>
      <c r="Z27" s="52">
        <f t="shared" si="6"/>
        <v>540157064</v>
      </c>
      <c r="AA27" s="52">
        <f t="shared" si="6"/>
        <v>624402689</v>
      </c>
      <c r="AB27" s="52">
        <f t="shared" si="6"/>
        <v>718882730</v>
      </c>
      <c r="AC27" s="52">
        <f t="shared" si="6"/>
        <v>819505673</v>
      </c>
      <c r="AD27" s="52">
        <f t="shared" si="6"/>
        <v>932090928</v>
      </c>
      <c r="AE27" s="52">
        <f t="shared" si="6"/>
        <v>1146737877</v>
      </c>
      <c r="AF27" s="52">
        <f t="shared" si="6"/>
        <v>1339424319</v>
      </c>
      <c r="AG27" s="52">
        <f t="shared" si="6"/>
        <v>1457302696</v>
      </c>
      <c r="AH27" s="52">
        <f t="shared" si="6"/>
        <v>1499838625</v>
      </c>
      <c r="AI27" s="52">
        <f t="shared" si="6"/>
        <v>1596303554</v>
      </c>
      <c r="AJ27" s="52">
        <f t="shared" si="6"/>
        <v>1609621203</v>
      </c>
      <c r="AK27" s="52">
        <f t="shared" si="6"/>
        <v>1540858734</v>
      </c>
      <c r="AL27" s="52">
        <f t="shared" si="6"/>
        <v>1517377544</v>
      </c>
      <c r="AM27" s="52">
        <f t="shared" si="6"/>
        <v>1244911663</v>
      </c>
      <c r="AN27" s="52">
        <f t="shared" si="6"/>
        <v>1457564185</v>
      </c>
      <c r="AO27" s="52">
        <f t="shared" si="6"/>
        <v>1436677770</v>
      </c>
      <c r="AP27" s="52">
        <f t="shared" si="6"/>
        <v>1418699392</v>
      </c>
      <c r="AQ27" s="52">
        <f t="shared" si="6"/>
        <v>1450195859</v>
      </c>
      <c r="AR27" s="52">
        <f t="shared" si="6"/>
        <v>1524884038</v>
      </c>
      <c r="AS27" s="52">
        <f t="shared" si="6"/>
        <v>1479328240</v>
      </c>
      <c r="AT27" s="52">
        <f t="shared" si="6"/>
        <v>1471263289</v>
      </c>
      <c r="AU27" s="52">
        <f t="shared" si="6"/>
        <v>1480849858</v>
      </c>
      <c r="AV27" s="52">
        <f t="shared" si="6"/>
        <v>0</v>
      </c>
    </row>
    <row r="28" spans="1:48" s="2" customFormat="1" x14ac:dyDescent="0.2">
      <c r="A28" s="54" t="s">
        <v>31</v>
      </c>
      <c r="B28" s="57">
        <v>62303265</v>
      </c>
      <c r="C28" s="57">
        <v>39788372</v>
      </c>
      <c r="D28" s="57">
        <v>44991578</v>
      </c>
      <c r="E28" s="57">
        <v>58785550</v>
      </c>
      <c r="F28" s="57">
        <v>110119597</v>
      </c>
      <c r="G28" s="57">
        <v>95104274</v>
      </c>
      <c r="H28" s="57">
        <v>90098589</v>
      </c>
      <c r="I28" s="57">
        <v>199652870</v>
      </c>
      <c r="J28" s="57">
        <v>298989776</v>
      </c>
      <c r="K28" s="57">
        <v>431724974</v>
      </c>
      <c r="L28" s="57">
        <v>518598768</v>
      </c>
      <c r="M28" s="57">
        <v>685028886</v>
      </c>
      <c r="N28" s="57">
        <v>716400817</v>
      </c>
      <c r="O28" s="57">
        <v>658946691</v>
      </c>
      <c r="P28" s="57">
        <v>1061714733</v>
      </c>
      <c r="Q28" s="57">
        <v>1240055113</v>
      </c>
      <c r="R28" s="57">
        <v>1472768021</v>
      </c>
      <c r="S28" s="57">
        <v>1650192386</v>
      </c>
      <c r="T28" s="57">
        <v>1978934069</v>
      </c>
      <c r="U28" s="57">
        <v>2336650051</v>
      </c>
      <c r="V28" s="57">
        <v>2686913801</v>
      </c>
      <c r="W28" s="57">
        <v>3141882685</v>
      </c>
      <c r="X28" s="57">
        <v>3244305292</v>
      </c>
      <c r="Y28" s="57">
        <v>3743161523</v>
      </c>
      <c r="Z28" s="57">
        <v>4190097465</v>
      </c>
      <c r="AA28" s="57">
        <v>4322432320</v>
      </c>
      <c r="AB28" s="57">
        <v>4817258503</v>
      </c>
      <c r="AC28" s="57">
        <v>5637085525</v>
      </c>
      <c r="AD28" s="57">
        <v>6335898686</v>
      </c>
      <c r="AE28" s="57">
        <v>7215932693</v>
      </c>
      <c r="AF28" s="57">
        <v>7798716231</v>
      </c>
      <c r="AG28" s="57">
        <v>8182426142</v>
      </c>
      <c r="AH28" s="57">
        <v>8047958856</v>
      </c>
      <c r="AI28" s="57">
        <v>7630946993</v>
      </c>
      <c r="AJ28" s="57">
        <v>7299912168</v>
      </c>
      <c r="AK28" s="57">
        <v>6603808994</v>
      </c>
      <c r="AL28" s="57">
        <v>6157067990</v>
      </c>
      <c r="AM28" s="57">
        <v>5417415320</v>
      </c>
      <c r="AN28" s="57">
        <v>5230112931</v>
      </c>
      <c r="AO28" s="57">
        <v>4733982536</v>
      </c>
      <c r="AP28" s="57">
        <v>4090210637</v>
      </c>
      <c r="AQ28" s="57">
        <v>3829161759</v>
      </c>
      <c r="AR28" s="57">
        <v>3473694406</v>
      </c>
      <c r="AS28" s="57">
        <v>3140821759</v>
      </c>
      <c r="AT28" s="57">
        <v>2846516510</v>
      </c>
      <c r="AU28" s="57">
        <v>2614890840</v>
      </c>
      <c r="AV28" s="57"/>
    </row>
    <row r="29" spans="1:48" x14ac:dyDescent="0.2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</row>
    <row r="30" spans="1:48" x14ac:dyDescent="0.2">
      <c r="A30" s="51" t="s">
        <v>23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</row>
    <row r="31" spans="1:48" s="2" customFormat="1" x14ac:dyDescent="0.2">
      <c r="A31" s="54" t="s">
        <v>12</v>
      </c>
      <c r="B31" s="52">
        <f t="shared" ref="B31:AV31" si="7">B15</f>
        <v>7255976</v>
      </c>
      <c r="C31" s="52">
        <f t="shared" si="7"/>
        <v>6574610</v>
      </c>
      <c r="D31" s="52">
        <f t="shared" si="7"/>
        <v>3006901</v>
      </c>
      <c r="E31" s="52">
        <f t="shared" si="7"/>
        <v>6306032</v>
      </c>
      <c r="F31" s="52">
        <f t="shared" si="7"/>
        <v>8719850</v>
      </c>
      <c r="G31" s="52">
        <f t="shared" si="7"/>
        <v>11171727</v>
      </c>
      <c r="H31" s="52">
        <f t="shared" si="7"/>
        <v>10589557</v>
      </c>
      <c r="I31" s="52">
        <f t="shared" si="7"/>
        <v>18256921</v>
      </c>
      <c r="J31" s="52">
        <f t="shared" si="7"/>
        <v>30780421</v>
      </c>
      <c r="K31" s="52">
        <f t="shared" si="7"/>
        <v>56639919</v>
      </c>
      <c r="L31" s="52">
        <f t="shared" si="7"/>
        <v>71164229</v>
      </c>
      <c r="M31" s="52">
        <f t="shared" si="7"/>
        <v>82187558</v>
      </c>
      <c r="N31" s="52">
        <f t="shared" si="7"/>
        <v>95752432</v>
      </c>
      <c r="O31" s="52">
        <f t="shared" si="7"/>
        <v>88871087</v>
      </c>
      <c r="P31" s="52">
        <f t="shared" si="7"/>
        <v>97514819</v>
      </c>
      <c r="Q31" s="52">
        <f t="shared" si="7"/>
        <v>123132847</v>
      </c>
      <c r="R31" s="52">
        <f t="shared" si="7"/>
        <v>146157789</v>
      </c>
      <c r="S31" s="52">
        <f t="shared" si="7"/>
        <v>182082762</v>
      </c>
      <c r="T31" s="52">
        <f t="shared" si="7"/>
        <v>297378698</v>
      </c>
      <c r="U31" s="52">
        <f t="shared" si="7"/>
        <v>262035415</v>
      </c>
      <c r="V31" s="52">
        <f t="shared" si="7"/>
        <v>375216794</v>
      </c>
      <c r="W31" s="52">
        <f t="shared" si="7"/>
        <v>392188233</v>
      </c>
      <c r="X31" s="52">
        <f t="shared" si="7"/>
        <v>569733119</v>
      </c>
      <c r="Y31" s="52">
        <f t="shared" si="7"/>
        <v>486907275</v>
      </c>
      <c r="Z31" s="52">
        <f t="shared" si="7"/>
        <v>456579516</v>
      </c>
      <c r="AA31" s="52">
        <f t="shared" si="7"/>
        <v>486649004</v>
      </c>
      <c r="AB31" s="52">
        <f t="shared" si="7"/>
        <v>474055567</v>
      </c>
      <c r="AC31" s="52">
        <f t="shared" si="7"/>
        <v>522228623</v>
      </c>
      <c r="AD31" s="52">
        <f t="shared" si="7"/>
        <v>590369152</v>
      </c>
      <c r="AE31" s="52">
        <f t="shared" si="7"/>
        <v>670055889</v>
      </c>
      <c r="AF31" s="52">
        <f t="shared" si="7"/>
        <v>787813714</v>
      </c>
      <c r="AG31" s="52">
        <f t="shared" si="7"/>
        <v>755009734</v>
      </c>
      <c r="AH31" s="52">
        <f t="shared" si="7"/>
        <v>777545180</v>
      </c>
      <c r="AI31" s="52">
        <f t="shared" si="7"/>
        <v>738124837</v>
      </c>
      <c r="AJ31" s="52">
        <f t="shared" si="7"/>
        <v>698803718</v>
      </c>
      <c r="AK31" s="52">
        <f t="shared" si="7"/>
        <v>630322470</v>
      </c>
      <c r="AL31" s="52">
        <f t="shared" si="7"/>
        <v>538293758</v>
      </c>
      <c r="AM31" s="52">
        <f t="shared" si="7"/>
        <v>481797500</v>
      </c>
      <c r="AN31" s="52">
        <f t="shared" si="7"/>
        <v>440582048</v>
      </c>
      <c r="AO31" s="52">
        <f t="shared" si="7"/>
        <v>399485427</v>
      </c>
      <c r="AP31" s="52">
        <f t="shared" si="7"/>
        <v>340271786</v>
      </c>
      <c r="AQ31" s="52">
        <f t="shared" si="7"/>
        <v>316029895</v>
      </c>
      <c r="AR31" s="52">
        <f t="shared" si="7"/>
        <v>267763259</v>
      </c>
      <c r="AS31" s="52">
        <f t="shared" si="7"/>
        <v>233618910</v>
      </c>
      <c r="AT31" s="52">
        <f t="shared" si="7"/>
        <v>203047876</v>
      </c>
      <c r="AU31" s="52">
        <f t="shared" si="7"/>
        <v>177008417</v>
      </c>
      <c r="AV31" s="52">
        <f t="shared" si="7"/>
        <v>0</v>
      </c>
    </row>
    <row r="32" spans="1:48" s="2" customFormat="1" x14ac:dyDescent="0.2">
      <c r="A32" s="54" t="s">
        <v>24</v>
      </c>
      <c r="B32" s="57">
        <v>6973026</v>
      </c>
      <c r="C32" s="57">
        <v>6574610</v>
      </c>
      <c r="D32" s="57">
        <v>2908453</v>
      </c>
      <c r="E32" s="57">
        <v>6196893</v>
      </c>
      <c r="F32" s="57">
        <v>6027032</v>
      </c>
      <c r="G32" s="57">
        <v>9035198</v>
      </c>
      <c r="H32" s="57">
        <v>9655954</v>
      </c>
      <c r="I32" s="58">
        <v>18256921</v>
      </c>
      <c r="J32" s="57">
        <v>29288702</v>
      </c>
      <c r="K32" s="57">
        <v>54521940</v>
      </c>
      <c r="L32" s="57">
        <v>65023931</v>
      </c>
      <c r="M32" s="57">
        <v>76982341</v>
      </c>
      <c r="N32" s="57">
        <v>92437942</v>
      </c>
      <c r="O32" s="57">
        <v>82940653</v>
      </c>
      <c r="P32" s="57">
        <v>95209917</v>
      </c>
      <c r="Q32" s="57">
        <v>121576348</v>
      </c>
      <c r="R32" s="57">
        <v>140719781</v>
      </c>
      <c r="S32" s="57">
        <v>176447741</v>
      </c>
      <c r="T32" s="57">
        <v>189101029</v>
      </c>
      <c r="U32" s="57">
        <v>228477533</v>
      </c>
      <c r="V32" s="57">
        <v>268377944</v>
      </c>
      <c r="W32" s="57">
        <v>306678259</v>
      </c>
      <c r="X32" s="57">
        <v>342282479</v>
      </c>
      <c r="Y32" s="57">
        <v>350227554</v>
      </c>
      <c r="Z32" s="57">
        <v>411083942</v>
      </c>
      <c r="AA32" s="57">
        <v>434605769</v>
      </c>
      <c r="AB32" s="57">
        <v>446582540</v>
      </c>
      <c r="AC32" s="57">
        <v>499996248</v>
      </c>
      <c r="AD32" s="57">
        <v>563778886</v>
      </c>
      <c r="AE32" s="57">
        <v>626451254</v>
      </c>
      <c r="AF32" s="57">
        <v>751333628</v>
      </c>
      <c r="AG32" s="57">
        <v>723846713</v>
      </c>
      <c r="AH32" s="57">
        <v>747780532</v>
      </c>
      <c r="AI32" s="57">
        <v>710825077</v>
      </c>
      <c r="AJ32" s="57">
        <v>667636680</v>
      </c>
      <c r="AK32" s="57">
        <v>606147853</v>
      </c>
      <c r="AL32" s="57">
        <v>503988838</v>
      </c>
      <c r="AM32" s="57">
        <v>436314925</v>
      </c>
      <c r="AN32" s="57">
        <v>394349856</v>
      </c>
      <c r="AO32" s="57">
        <v>381804177</v>
      </c>
      <c r="AP32" s="57">
        <v>323229144</v>
      </c>
      <c r="AQ32" s="57">
        <v>294979938</v>
      </c>
      <c r="AR32" s="57">
        <v>256570390</v>
      </c>
      <c r="AS32" s="57">
        <v>223199981</v>
      </c>
      <c r="AT32" s="57">
        <v>191808330</v>
      </c>
      <c r="AU32" s="57">
        <v>165950210</v>
      </c>
      <c r="AV32" s="57"/>
    </row>
    <row r="33" spans="1:48" s="2" customFormat="1" x14ac:dyDescent="0.2">
      <c r="A33" s="54" t="s">
        <v>26</v>
      </c>
      <c r="B33" s="57">
        <v>3978921</v>
      </c>
      <c r="C33" s="57">
        <v>3389045</v>
      </c>
      <c r="D33" s="57">
        <v>2617242</v>
      </c>
      <c r="E33" s="57">
        <v>4270686</v>
      </c>
      <c r="F33" s="57">
        <v>5339220</v>
      </c>
      <c r="G33" s="57">
        <v>6559045</v>
      </c>
      <c r="H33" s="57">
        <v>6749123</v>
      </c>
      <c r="I33" s="57">
        <v>10268879</v>
      </c>
      <c r="J33" s="57">
        <v>12681458</v>
      </c>
      <c r="K33" s="57">
        <v>25446090</v>
      </c>
      <c r="L33" s="57">
        <v>32408303</v>
      </c>
      <c r="M33" s="57">
        <v>34312335</v>
      </c>
      <c r="N33" s="57">
        <v>37195869</v>
      </c>
      <c r="O33" s="57">
        <v>30223871</v>
      </c>
      <c r="P33" s="57">
        <v>29395582</v>
      </c>
      <c r="Q33" s="57">
        <v>36093309</v>
      </c>
      <c r="R33" s="57">
        <v>51436146</v>
      </c>
      <c r="S33" s="57">
        <v>93135460</v>
      </c>
      <c r="T33" s="57">
        <v>109637810</v>
      </c>
      <c r="U33" s="57">
        <v>96635528</v>
      </c>
      <c r="V33" s="57">
        <v>89463412</v>
      </c>
      <c r="W33" s="57">
        <v>91933900</v>
      </c>
      <c r="X33" s="57">
        <v>83124248</v>
      </c>
      <c r="Y33" s="57">
        <v>70005822</v>
      </c>
      <c r="Z33" s="57">
        <v>74174390</v>
      </c>
      <c r="AA33" s="57">
        <v>77743617</v>
      </c>
      <c r="AB33" s="57">
        <v>75126509</v>
      </c>
      <c r="AC33" s="57">
        <v>88288944</v>
      </c>
      <c r="AD33" s="57">
        <v>97564296</v>
      </c>
      <c r="AE33" s="57">
        <v>112523445</v>
      </c>
      <c r="AF33" s="57">
        <v>128027240</v>
      </c>
      <c r="AG33" s="57">
        <v>135180328</v>
      </c>
      <c r="AH33" s="57">
        <v>140282369</v>
      </c>
      <c r="AI33" s="57">
        <v>137933443</v>
      </c>
      <c r="AJ33" s="57">
        <v>123625585</v>
      </c>
      <c r="AK33" s="57">
        <v>109663504</v>
      </c>
      <c r="AL33" s="57">
        <v>98044982</v>
      </c>
      <c r="AM33" s="57">
        <v>89810630</v>
      </c>
      <c r="AN33" s="57">
        <v>78333259</v>
      </c>
      <c r="AO33" s="57">
        <v>71382088</v>
      </c>
      <c r="AP33" s="57">
        <v>61014485</v>
      </c>
      <c r="AQ33" s="57">
        <v>54180240</v>
      </c>
      <c r="AR33" s="57">
        <v>43736580</v>
      </c>
      <c r="AS33" s="57">
        <v>33461548</v>
      </c>
      <c r="AT33" s="57">
        <v>26754292</v>
      </c>
      <c r="AU33" s="57">
        <v>21650026</v>
      </c>
      <c r="AV33" s="57"/>
    </row>
    <row r="34" spans="1:48" s="2" customFormat="1" x14ac:dyDescent="0.2">
      <c r="A34" s="54" t="s">
        <v>13</v>
      </c>
      <c r="B34" s="52">
        <f t="shared" ref="B34:AV37" si="8">B16</f>
        <v>2464005</v>
      </c>
      <c r="C34" s="52">
        <f t="shared" si="8"/>
        <v>0</v>
      </c>
      <c r="D34" s="52">
        <f t="shared" si="8"/>
        <v>3599700</v>
      </c>
      <c r="E34" s="52">
        <f t="shared" si="8"/>
        <v>1960138</v>
      </c>
      <c r="F34" s="52">
        <f t="shared" si="8"/>
        <v>2362378</v>
      </c>
      <c r="G34" s="52">
        <f t="shared" si="8"/>
        <v>2768113</v>
      </c>
      <c r="H34" s="52">
        <f t="shared" si="8"/>
        <v>3084096</v>
      </c>
      <c r="I34" s="52">
        <f t="shared" si="8"/>
        <v>4983794</v>
      </c>
      <c r="J34" s="52">
        <f t="shared" si="8"/>
        <v>5978636</v>
      </c>
      <c r="K34" s="52">
        <f t="shared" si="8"/>
        <v>13416358</v>
      </c>
      <c r="L34" s="52">
        <f t="shared" si="8"/>
        <v>18460711</v>
      </c>
      <c r="M34" s="52">
        <f t="shared" si="8"/>
        <v>20804501</v>
      </c>
      <c r="N34" s="52">
        <f t="shared" si="8"/>
        <v>25382421</v>
      </c>
      <c r="O34" s="52">
        <f t="shared" si="8"/>
        <v>25360098</v>
      </c>
      <c r="P34" s="52">
        <f t="shared" si="8"/>
        <v>30743961</v>
      </c>
      <c r="Q34" s="52">
        <f t="shared" si="8"/>
        <v>34674792</v>
      </c>
      <c r="R34" s="52">
        <f t="shared" si="8"/>
        <v>37655007</v>
      </c>
      <c r="S34" s="52">
        <f t="shared" si="8"/>
        <v>48901308</v>
      </c>
      <c r="T34" s="52">
        <f t="shared" si="8"/>
        <v>48908220</v>
      </c>
      <c r="U34" s="52">
        <f t="shared" si="8"/>
        <v>59840557</v>
      </c>
      <c r="V34" s="52">
        <f t="shared" si="8"/>
        <v>69855264</v>
      </c>
      <c r="W34" s="52">
        <f t="shared" si="8"/>
        <v>87999130</v>
      </c>
      <c r="X34" s="52">
        <f t="shared" si="8"/>
        <v>103710403</v>
      </c>
      <c r="Y34" s="52">
        <f t="shared" si="8"/>
        <v>115880924</v>
      </c>
      <c r="Z34" s="52">
        <f t="shared" si="8"/>
        <v>125507729</v>
      </c>
      <c r="AA34" s="52">
        <f t="shared" si="8"/>
        <v>144638627</v>
      </c>
      <c r="AB34" s="52">
        <f t="shared" si="8"/>
        <v>152360708</v>
      </c>
      <c r="AC34" s="52">
        <f t="shared" si="8"/>
        <v>179780895</v>
      </c>
      <c r="AD34" s="52">
        <f t="shared" si="8"/>
        <v>231178798</v>
      </c>
      <c r="AE34" s="52">
        <f t="shared" si="8"/>
        <v>235055072</v>
      </c>
      <c r="AF34" s="52">
        <f t="shared" si="8"/>
        <v>278583513</v>
      </c>
      <c r="AG34" s="52">
        <f t="shared" si="8"/>
        <v>275376620</v>
      </c>
      <c r="AH34" s="52">
        <f t="shared" si="8"/>
        <v>283684675</v>
      </c>
      <c r="AI34" s="52">
        <f t="shared" si="8"/>
        <v>271788416</v>
      </c>
      <c r="AJ34" s="52">
        <f t="shared" si="8"/>
        <v>260885508</v>
      </c>
      <c r="AK34" s="52">
        <f t="shared" si="8"/>
        <v>226942603</v>
      </c>
      <c r="AL34" s="52">
        <f t="shared" si="8"/>
        <v>230083276</v>
      </c>
      <c r="AM34" s="52">
        <f t="shared" si="8"/>
        <v>217032294</v>
      </c>
      <c r="AN34" s="52">
        <f t="shared" si="8"/>
        <v>232015326</v>
      </c>
      <c r="AO34" s="52">
        <f t="shared" si="8"/>
        <v>189331486</v>
      </c>
      <c r="AP34" s="52">
        <f t="shared" si="8"/>
        <v>168563499</v>
      </c>
      <c r="AQ34" s="52">
        <f t="shared" si="8"/>
        <v>116167400</v>
      </c>
      <c r="AR34" s="52">
        <f t="shared" si="8"/>
        <v>95719768</v>
      </c>
      <c r="AS34" s="52">
        <f t="shared" si="8"/>
        <v>99133333</v>
      </c>
      <c r="AT34" s="52">
        <f t="shared" si="8"/>
        <v>86623064</v>
      </c>
      <c r="AU34" s="52">
        <f t="shared" si="8"/>
        <v>95316575</v>
      </c>
      <c r="AV34" s="52">
        <f t="shared" si="8"/>
        <v>0</v>
      </c>
    </row>
    <row r="35" spans="1:48" s="2" customFormat="1" x14ac:dyDescent="0.2">
      <c r="A35" s="54" t="s">
        <v>14</v>
      </c>
      <c r="B35" s="52">
        <f t="shared" si="8"/>
        <v>740924</v>
      </c>
      <c r="C35" s="52">
        <f t="shared" si="8"/>
        <v>0</v>
      </c>
      <c r="D35" s="52">
        <f t="shared" si="8"/>
        <v>849261</v>
      </c>
      <c r="E35" s="52">
        <f t="shared" si="8"/>
        <v>389338</v>
      </c>
      <c r="F35" s="52">
        <f t="shared" si="8"/>
        <v>278100</v>
      </c>
      <c r="G35" s="52">
        <f t="shared" si="8"/>
        <v>406041</v>
      </c>
      <c r="H35" s="52">
        <f t="shared" si="8"/>
        <v>589011</v>
      </c>
      <c r="I35" s="52">
        <f t="shared" si="8"/>
        <v>621398</v>
      </c>
      <c r="J35" s="52">
        <f t="shared" si="8"/>
        <v>4478531</v>
      </c>
      <c r="K35" s="52">
        <f t="shared" si="8"/>
        <v>16775794</v>
      </c>
      <c r="L35" s="52">
        <f t="shared" si="8"/>
        <v>19823590</v>
      </c>
      <c r="M35" s="52">
        <f t="shared" si="8"/>
        <v>28462981</v>
      </c>
      <c r="N35" s="52">
        <f t="shared" si="8"/>
        <v>31047935</v>
      </c>
      <c r="O35" s="52">
        <f t="shared" si="8"/>
        <v>36165722</v>
      </c>
      <c r="P35" s="52">
        <f t="shared" si="8"/>
        <v>34765904</v>
      </c>
      <c r="Q35" s="52">
        <f t="shared" si="8"/>
        <v>42183924</v>
      </c>
      <c r="R35" s="52">
        <f t="shared" si="8"/>
        <v>47615241</v>
      </c>
      <c r="S35" s="52">
        <f t="shared" si="8"/>
        <v>41492738</v>
      </c>
      <c r="T35" s="52">
        <f t="shared" si="8"/>
        <v>45718688</v>
      </c>
      <c r="U35" s="52">
        <f t="shared" si="8"/>
        <v>59091919</v>
      </c>
      <c r="V35" s="52">
        <f t="shared" si="8"/>
        <v>85486029</v>
      </c>
      <c r="W35" s="52">
        <f t="shared" si="8"/>
        <v>121648396</v>
      </c>
      <c r="X35" s="52">
        <f t="shared" si="8"/>
        <v>139748202</v>
      </c>
      <c r="Y35" s="52">
        <f t="shared" si="8"/>
        <v>138611833</v>
      </c>
      <c r="Z35" s="52">
        <f t="shared" si="8"/>
        <v>122237776</v>
      </c>
      <c r="AA35" s="52">
        <f t="shared" si="8"/>
        <v>129175250</v>
      </c>
      <c r="AB35" s="52">
        <f t="shared" si="8"/>
        <v>132973278</v>
      </c>
      <c r="AC35" s="52">
        <f t="shared" si="8"/>
        <v>148708585</v>
      </c>
      <c r="AD35" s="52">
        <f t="shared" si="8"/>
        <v>153363753</v>
      </c>
      <c r="AE35" s="52">
        <f t="shared" si="8"/>
        <v>167309807</v>
      </c>
      <c r="AF35" s="52">
        <f t="shared" si="8"/>
        <v>229087705</v>
      </c>
      <c r="AG35" s="52">
        <f t="shared" si="8"/>
        <v>247554550</v>
      </c>
      <c r="AH35" s="52">
        <f t="shared" si="8"/>
        <v>235470926</v>
      </c>
      <c r="AI35" s="52">
        <f t="shared" si="8"/>
        <v>214162671</v>
      </c>
      <c r="AJ35" s="52">
        <f t="shared" si="8"/>
        <v>251225450</v>
      </c>
      <c r="AK35" s="52">
        <f t="shared" si="8"/>
        <v>176095868</v>
      </c>
      <c r="AL35" s="52">
        <f t="shared" si="8"/>
        <v>162248961</v>
      </c>
      <c r="AM35" s="52">
        <f t="shared" si="8"/>
        <v>127390084</v>
      </c>
      <c r="AN35" s="52">
        <f t="shared" si="8"/>
        <v>105567619</v>
      </c>
      <c r="AO35" s="52">
        <f t="shared" si="8"/>
        <v>97384997</v>
      </c>
      <c r="AP35" s="52">
        <f t="shared" si="8"/>
        <v>99955530</v>
      </c>
      <c r="AQ35" s="52">
        <f t="shared" si="8"/>
        <v>83594872</v>
      </c>
      <c r="AR35" s="52">
        <f t="shared" si="8"/>
        <v>80300443</v>
      </c>
      <c r="AS35" s="52">
        <f t="shared" si="8"/>
        <v>76444797</v>
      </c>
      <c r="AT35" s="52">
        <f t="shared" si="8"/>
        <v>63771154</v>
      </c>
      <c r="AU35" s="52">
        <f t="shared" si="8"/>
        <v>55563328</v>
      </c>
      <c r="AV35" s="52">
        <f t="shared" si="8"/>
        <v>0</v>
      </c>
    </row>
    <row r="36" spans="1:48" s="2" customFormat="1" x14ac:dyDescent="0.2">
      <c r="A36" s="54" t="s">
        <v>25</v>
      </c>
      <c r="B36" s="52">
        <f t="shared" si="8"/>
        <v>50565</v>
      </c>
      <c r="C36" s="52">
        <f t="shared" si="8"/>
        <v>1577008</v>
      </c>
      <c r="D36" s="52">
        <f t="shared" si="8"/>
        <v>-806196</v>
      </c>
      <c r="E36" s="52">
        <f t="shared" si="8"/>
        <v>1767451</v>
      </c>
      <c r="F36" s="52">
        <f t="shared" si="8"/>
        <v>860115</v>
      </c>
      <c r="G36" s="52">
        <f t="shared" si="8"/>
        <v>1030579</v>
      </c>
      <c r="H36" s="52">
        <f t="shared" si="8"/>
        <v>1332717</v>
      </c>
      <c r="I36" s="52">
        <f t="shared" si="8"/>
        <v>636589</v>
      </c>
      <c r="J36" s="52">
        <f t="shared" si="8"/>
        <v>6867812</v>
      </c>
      <c r="K36" s="52">
        <f t="shared" si="8"/>
        <v>1271400</v>
      </c>
      <c r="L36" s="52">
        <f t="shared" si="8"/>
        <v>2523975</v>
      </c>
      <c r="M36" s="52">
        <f t="shared" si="8"/>
        <v>4119152</v>
      </c>
      <c r="N36" s="52">
        <f t="shared" si="8"/>
        <v>4649625</v>
      </c>
      <c r="O36" s="52">
        <f t="shared" si="8"/>
        <v>2352233</v>
      </c>
      <c r="P36" s="52">
        <f t="shared" si="8"/>
        <v>9610240</v>
      </c>
      <c r="Q36" s="52">
        <f t="shared" si="8"/>
        <v>15553213</v>
      </c>
      <c r="R36" s="52">
        <f t="shared" si="8"/>
        <v>12025624</v>
      </c>
      <c r="S36" s="52">
        <f t="shared" si="8"/>
        <v>7470023</v>
      </c>
      <c r="T36" s="52">
        <f t="shared" si="8"/>
        <v>6738615</v>
      </c>
      <c r="U36" s="52">
        <f t="shared" si="8"/>
        <v>33075192</v>
      </c>
      <c r="V36" s="52">
        <f t="shared" si="8"/>
        <v>59821660</v>
      </c>
      <c r="W36" s="52">
        <f t="shared" si="8"/>
        <v>36972362</v>
      </c>
      <c r="X36" s="52">
        <f t="shared" si="8"/>
        <v>73789585</v>
      </c>
      <c r="Y36" s="52">
        <f t="shared" si="8"/>
        <v>76028591</v>
      </c>
      <c r="Z36" s="52">
        <f t="shared" si="8"/>
        <v>119815804</v>
      </c>
      <c r="AA36" s="52">
        <f t="shared" si="8"/>
        <v>119775996</v>
      </c>
      <c r="AB36" s="52">
        <f t="shared" si="8"/>
        <v>119477691</v>
      </c>
      <c r="AC36" s="52">
        <f t="shared" si="8"/>
        <v>107343438</v>
      </c>
      <c r="AD36" s="52">
        <f t="shared" si="8"/>
        <v>109847337</v>
      </c>
      <c r="AE36" s="52">
        <f t="shared" si="8"/>
        <v>150689480</v>
      </c>
      <c r="AF36" s="52">
        <f t="shared" si="8"/>
        <v>159023436</v>
      </c>
      <c r="AG36" s="52">
        <f t="shared" si="8"/>
        <v>102779185</v>
      </c>
      <c r="AH36" s="52">
        <f t="shared" si="8"/>
        <v>123176197</v>
      </c>
      <c r="AI36" s="52">
        <f t="shared" si="8"/>
        <v>125374077</v>
      </c>
      <c r="AJ36" s="52">
        <f t="shared" si="8"/>
        <v>65767712</v>
      </c>
      <c r="AK36" s="52">
        <f t="shared" si="8"/>
        <v>120832336</v>
      </c>
      <c r="AL36" s="52">
        <f t="shared" si="8"/>
        <v>58767807</v>
      </c>
      <c r="AM36" s="52">
        <f t="shared" si="8"/>
        <v>60815871</v>
      </c>
      <c r="AN36" s="52">
        <f t="shared" si="8"/>
        <v>43685204</v>
      </c>
      <c r="AO36" s="52">
        <f t="shared" si="8"/>
        <v>59770697</v>
      </c>
      <c r="AP36" s="52">
        <f t="shared" si="8"/>
        <v>24395105</v>
      </c>
      <c r="AQ36" s="52">
        <f t="shared" si="8"/>
        <v>72875173</v>
      </c>
      <c r="AR36" s="52">
        <f t="shared" si="8"/>
        <v>54100393</v>
      </c>
      <c r="AS36" s="52">
        <f t="shared" si="8"/>
        <v>31360623</v>
      </c>
      <c r="AT36" s="52">
        <f t="shared" si="8"/>
        <v>37268594</v>
      </c>
      <c r="AU36" s="52">
        <f t="shared" si="8"/>
        <v>59680924</v>
      </c>
      <c r="AV36" s="52">
        <f t="shared" si="8"/>
        <v>0</v>
      </c>
    </row>
    <row r="37" spans="1:48" s="2" customFormat="1" x14ac:dyDescent="0.2">
      <c r="A37" s="54" t="s">
        <v>27</v>
      </c>
      <c r="B37" s="52">
        <f t="shared" si="8"/>
        <v>72126</v>
      </c>
      <c r="C37" s="52">
        <f t="shared" si="8"/>
        <v>-1836380</v>
      </c>
      <c r="D37" s="52">
        <f t="shared" si="8"/>
        <v>-4059302</v>
      </c>
      <c r="E37" s="52">
        <f t="shared" si="8"/>
        <v>-314130</v>
      </c>
      <c r="F37" s="52">
        <f t="shared" si="8"/>
        <v>740152</v>
      </c>
      <c r="G37" s="52">
        <f t="shared" si="8"/>
        <v>1438528</v>
      </c>
      <c r="H37" s="52">
        <f t="shared" si="8"/>
        <v>167327</v>
      </c>
      <c r="I37" s="52">
        <f t="shared" si="8"/>
        <v>2382850</v>
      </c>
      <c r="J37" s="52">
        <f t="shared" si="8"/>
        <v>7641796</v>
      </c>
      <c r="K37" s="52">
        <f t="shared" si="8"/>
        <v>1001677</v>
      </c>
      <c r="L37" s="52">
        <f t="shared" si="8"/>
        <v>-528375</v>
      </c>
      <c r="M37" s="52">
        <f t="shared" si="8"/>
        <v>-792259</v>
      </c>
      <c r="N37" s="52">
        <f t="shared" si="8"/>
        <v>2126207</v>
      </c>
      <c r="O37" s="52">
        <f t="shared" si="8"/>
        <v>-2878604</v>
      </c>
      <c r="P37" s="52">
        <f t="shared" si="8"/>
        <v>2609372</v>
      </c>
      <c r="Q37" s="52">
        <f t="shared" si="8"/>
        <v>10180822</v>
      </c>
      <c r="R37" s="52">
        <f t="shared" si="8"/>
        <v>9451395</v>
      </c>
      <c r="S37" s="52">
        <f t="shared" si="8"/>
        <v>-1446744</v>
      </c>
      <c r="T37" s="52">
        <f t="shared" si="8"/>
        <v>5737693</v>
      </c>
      <c r="U37" s="52">
        <f t="shared" si="8"/>
        <v>35156642</v>
      </c>
      <c r="V37" s="52">
        <f t="shared" si="8"/>
        <v>60867758</v>
      </c>
      <c r="W37" s="52">
        <f t="shared" si="8"/>
        <v>33727347</v>
      </c>
      <c r="X37" s="52">
        <f t="shared" si="8"/>
        <v>69394481</v>
      </c>
      <c r="Y37" s="52">
        <f t="shared" si="8"/>
        <v>69299278</v>
      </c>
      <c r="Z37" s="52">
        <f t="shared" si="8"/>
        <v>119560429</v>
      </c>
      <c r="AA37" s="52">
        <f t="shared" si="8"/>
        <v>112528679</v>
      </c>
      <c r="AB37" s="52">
        <f t="shared" si="8"/>
        <v>113595072</v>
      </c>
      <c r="AC37" s="52">
        <f t="shared" si="8"/>
        <v>105450199</v>
      </c>
      <c r="AD37" s="52">
        <f t="shared" si="8"/>
        <v>108262305</v>
      </c>
      <c r="AE37" s="52">
        <f t="shared" si="8"/>
        <v>140375857</v>
      </c>
      <c r="AF37" s="52">
        <f t="shared" si="8"/>
        <v>152115256</v>
      </c>
      <c r="AG37" s="52">
        <f t="shared" si="8"/>
        <v>96898236</v>
      </c>
      <c r="AH37" s="52">
        <f t="shared" si="8"/>
        <v>118107210</v>
      </c>
      <c r="AI37" s="52">
        <f t="shared" si="8"/>
        <v>114240307</v>
      </c>
      <c r="AJ37" s="52">
        <f t="shared" si="8"/>
        <v>63067175</v>
      </c>
      <c r="AK37" s="52">
        <f t="shared" si="8"/>
        <v>117620495</v>
      </c>
      <c r="AL37" s="52">
        <f t="shared" si="8"/>
        <v>47916539</v>
      </c>
      <c r="AM37" s="52">
        <f t="shared" si="8"/>
        <v>47564492</v>
      </c>
      <c r="AN37" s="52">
        <f t="shared" si="8"/>
        <v>24665844</v>
      </c>
      <c r="AO37" s="52">
        <f t="shared" si="8"/>
        <v>41386856</v>
      </c>
      <c r="AP37" s="52">
        <f t="shared" si="8"/>
        <v>10738272</v>
      </c>
      <c r="AQ37" s="52">
        <f t="shared" si="8"/>
        <v>62087383</v>
      </c>
      <c r="AR37" s="52">
        <f t="shared" si="8"/>
        <v>48006468</v>
      </c>
      <c r="AS37" s="52">
        <f t="shared" si="8"/>
        <v>24579232</v>
      </c>
      <c r="AT37" s="52">
        <f t="shared" si="8"/>
        <v>25899366</v>
      </c>
      <c r="AU37" s="52">
        <f t="shared" si="8"/>
        <v>4478488</v>
      </c>
      <c r="AV37" s="52">
        <f t="shared" si="8"/>
        <v>0</v>
      </c>
    </row>
    <row r="40" spans="1:48" x14ac:dyDescent="0.2">
      <c r="A40" s="51"/>
      <c r="B40" s="52" t="s">
        <v>185</v>
      </c>
      <c r="C40" s="52" t="s">
        <v>186</v>
      </c>
      <c r="D40" s="52" t="s">
        <v>187</v>
      </c>
      <c r="E40" s="52" t="s">
        <v>188</v>
      </c>
      <c r="F40" s="52" t="s">
        <v>189</v>
      </c>
      <c r="G40" s="52" t="s">
        <v>190</v>
      </c>
      <c r="H40" s="52" t="s">
        <v>191</v>
      </c>
      <c r="I40" s="52" t="s">
        <v>192</v>
      </c>
      <c r="J40" s="52" t="s">
        <v>193</v>
      </c>
      <c r="K40" s="52" t="s">
        <v>194</v>
      </c>
      <c r="L40" s="52" t="s">
        <v>195</v>
      </c>
      <c r="M40" s="52" t="s">
        <v>196</v>
      </c>
      <c r="N40" s="52" t="s">
        <v>197</v>
      </c>
      <c r="O40" s="52" t="s">
        <v>198</v>
      </c>
      <c r="P40" s="52" t="s">
        <v>199</v>
      </c>
      <c r="Q40" s="52" t="s">
        <v>200</v>
      </c>
      <c r="R40" s="52" t="s">
        <v>201</v>
      </c>
      <c r="S40" s="52" t="s">
        <v>202</v>
      </c>
      <c r="T40" s="52" t="s">
        <v>203</v>
      </c>
      <c r="U40" s="52" t="s">
        <v>204</v>
      </c>
      <c r="V40" s="52" t="s">
        <v>205</v>
      </c>
      <c r="W40" s="52" t="s">
        <v>206</v>
      </c>
      <c r="X40" s="52" t="s">
        <v>207</v>
      </c>
      <c r="Y40" s="52" t="s">
        <v>208</v>
      </c>
      <c r="Z40" s="52" t="s">
        <v>209</v>
      </c>
      <c r="AA40" s="52" t="s">
        <v>210</v>
      </c>
      <c r="AB40" s="52" t="s">
        <v>211</v>
      </c>
      <c r="AC40" s="52" t="s">
        <v>212</v>
      </c>
      <c r="AD40" s="52" t="s">
        <v>213</v>
      </c>
      <c r="AE40" s="52" t="s">
        <v>214</v>
      </c>
      <c r="AF40" s="52" t="s">
        <v>215</v>
      </c>
      <c r="AG40" s="52" t="s">
        <v>216</v>
      </c>
      <c r="AH40" s="52" t="s">
        <v>217</v>
      </c>
      <c r="AI40" s="52" t="s">
        <v>218</v>
      </c>
      <c r="AJ40" s="52" t="s">
        <v>219</v>
      </c>
      <c r="AK40" s="52" t="s">
        <v>220</v>
      </c>
      <c r="AL40" s="52" t="s">
        <v>221</v>
      </c>
      <c r="AM40" s="52" t="s">
        <v>222</v>
      </c>
      <c r="AN40" s="52" t="s">
        <v>223</v>
      </c>
      <c r="AO40" s="52" t="s">
        <v>224</v>
      </c>
      <c r="AP40" s="52" t="s">
        <v>225</v>
      </c>
      <c r="AQ40" s="52" t="s">
        <v>226</v>
      </c>
      <c r="AR40" s="52" t="s">
        <v>227</v>
      </c>
      <c r="AS40" s="52" t="s">
        <v>228</v>
      </c>
      <c r="AT40" s="52" t="s">
        <v>229</v>
      </c>
      <c r="AU40" s="52" t="s">
        <v>230</v>
      </c>
      <c r="AV40" s="52"/>
    </row>
    <row r="41" spans="1:48" s="2" customFormat="1" x14ac:dyDescent="0.2">
      <c r="A41" s="54" t="s">
        <v>10</v>
      </c>
      <c r="B41" s="56">
        <v>62754616</v>
      </c>
      <c r="C41" s="56">
        <v>85231000</v>
      </c>
      <c r="D41" s="56">
        <v>28349910</v>
      </c>
      <c r="E41" s="56">
        <v>56295235</v>
      </c>
      <c r="F41" s="56">
        <v>239120000</v>
      </c>
      <c r="G41" s="56">
        <v>93026467</v>
      </c>
      <c r="H41" s="56">
        <v>95361748</v>
      </c>
      <c r="I41" s="56">
        <v>141283534</v>
      </c>
      <c r="J41" s="56">
        <v>223481000</v>
      </c>
      <c r="K41" s="56">
        <v>345195000</v>
      </c>
      <c r="L41" s="56">
        <v>318390000</v>
      </c>
      <c r="M41" s="56">
        <v>425057000</v>
      </c>
      <c r="N41" s="56">
        <v>378837000</v>
      </c>
      <c r="O41" s="56">
        <v>391500382</v>
      </c>
      <c r="P41" s="56">
        <v>939810499</v>
      </c>
      <c r="Q41" s="56">
        <v>844576712</v>
      </c>
      <c r="R41" s="56">
        <v>910664379</v>
      </c>
      <c r="S41" s="56">
        <v>1152062785</v>
      </c>
      <c r="T41" s="56">
        <v>1174217244</v>
      </c>
      <c r="U41" s="56">
        <v>1468917904</v>
      </c>
      <c r="V41" s="56">
        <v>1568370895</v>
      </c>
      <c r="W41" s="56">
        <v>1685406692</v>
      </c>
      <c r="X41" s="56">
        <v>1740071385</v>
      </c>
      <c r="Y41" s="56">
        <v>2030239846</v>
      </c>
      <c r="Z41" s="56">
        <v>1894548868</v>
      </c>
      <c r="AA41" s="56">
        <v>1598050707</v>
      </c>
      <c r="AB41" s="56">
        <v>2185619224</v>
      </c>
      <c r="AC41" s="56">
        <v>2587056542</v>
      </c>
      <c r="AD41" s="56">
        <v>2781119659</v>
      </c>
      <c r="AE41" s="56">
        <v>3188676260</v>
      </c>
      <c r="AF41" s="56">
        <v>3104854114</v>
      </c>
      <c r="AG41" s="56">
        <v>2937431321</v>
      </c>
      <c r="AH41" s="56">
        <v>2530354359</v>
      </c>
      <c r="AI41" s="56">
        <v>2081610000</v>
      </c>
      <c r="AJ41" s="56">
        <v>2045613000</v>
      </c>
      <c r="AK41" s="56">
        <v>1218685479</v>
      </c>
      <c r="AL41" s="56">
        <v>1258571171</v>
      </c>
      <c r="AM41" s="56">
        <v>1350180416</v>
      </c>
      <c r="AN41" s="56">
        <v>1237490000</v>
      </c>
      <c r="AO41" s="56">
        <v>910602992</v>
      </c>
      <c r="AP41" s="56">
        <v>654310000</v>
      </c>
      <c r="AQ41" s="56">
        <v>752660000</v>
      </c>
      <c r="AR41" s="56">
        <v>639510000</v>
      </c>
      <c r="AS41" s="56">
        <v>508320000</v>
      </c>
      <c r="AT41" s="56">
        <v>425050000</v>
      </c>
      <c r="AU41" s="56">
        <v>508740000</v>
      </c>
      <c r="AV41" s="56"/>
    </row>
    <row r="42" spans="1:48" s="2" customFormat="1" x14ac:dyDescent="0.2">
      <c r="A42" s="54" t="s">
        <v>2</v>
      </c>
      <c r="B42" s="57">
        <v>56467806</v>
      </c>
      <c r="C42" s="57">
        <v>27852749</v>
      </c>
      <c r="D42" s="57">
        <v>38742267</v>
      </c>
      <c r="E42" s="57">
        <v>39729896</v>
      </c>
      <c r="F42" s="57">
        <v>68839790</v>
      </c>
      <c r="G42" s="57">
        <v>72944271</v>
      </c>
      <c r="H42" s="57">
        <v>77292930</v>
      </c>
      <c r="I42" s="57">
        <v>137603039</v>
      </c>
      <c r="J42" s="57">
        <v>210117433</v>
      </c>
      <c r="K42" s="57">
        <v>340906414</v>
      </c>
      <c r="L42" s="57">
        <v>462114153</v>
      </c>
      <c r="M42" s="57">
        <v>605317992</v>
      </c>
      <c r="N42" s="57">
        <v>610811443</v>
      </c>
      <c r="O42" s="57">
        <v>548117784</v>
      </c>
      <c r="P42" s="57">
        <v>977261801</v>
      </c>
      <c r="Q42" s="57">
        <v>1148075293</v>
      </c>
      <c r="R42" s="57">
        <v>1336722065</v>
      </c>
      <c r="S42" s="57">
        <v>1574665736</v>
      </c>
      <c r="T42" s="57">
        <v>1909467695</v>
      </c>
      <c r="U42" s="57">
        <v>2233860907</v>
      </c>
      <c r="V42" s="57">
        <v>2564628088</v>
      </c>
      <c r="W42" s="57">
        <v>2932720782</v>
      </c>
      <c r="X42" s="57">
        <v>3060330824</v>
      </c>
      <c r="Y42" s="57">
        <v>3581582216</v>
      </c>
      <c r="Z42" s="57">
        <v>4003922329</v>
      </c>
      <c r="AA42" s="57">
        <v>4102242138</v>
      </c>
      <c r="AB42" s="57">
        <v>4585975330</v>
      </c>
      <c r="AC42" s="57">
        <v>5415534204</v>
      </c>
      <c r="AD42" s="57">
        <v>6058496101</v>
      </c>
      <c r="AE42" s="57">
        <v>6925468079</v>
      </c>
      <c r="AF42" s="57">
        <v>7566202310</v>
      </c>
      <c r="AG42" s="57">
        <v>7970472842</v>
      </c>
      <c r="AH42" s="57">
        <v>7839237083</v>
      </c>
      <c r="AI42" s="57">
        <v>7465974646</v>
      </c>
      <c r="AJ42" s="57">
        <v>7115508024</v>
      </c>
      <c r="AK42" s="57">
        <v>6167948401</v>
      </c>
      <c r="AL42" s="57">
        <v>5334141026</v>
      </c>
      <c r="AM42" s="57">
        <v>4947628206</v>
      </c>
      <c r="AN42" s="57">
        <v>4557057492</v>
      </c>
      <c r="AO42" s="57">
        <v>4070098489</v>
      </c>
      <c r="AP42" s="57">
        <v>3495128155</v>
      </c>
      <c r="AQ42" s="57">
        <v>3141588026</v>
      </c>
      <c r="AR42" s="57">
        <v>2815395687</v>
      </c>
      <c r="AS42" s="57">
        <v>2434952629</v>
      </c>
      <c r="AT42" s="57">
        <v>2104718322</v>
      </c>
      <c r="AU42" s="57">
        <v>1894483733</v>
      </c>
      <c r="AV42" s="57"/>
    </row>
    <row r="43" spans="1:48" s="2" customFormat="1" x14ac:dyDescent="0.2">
      <c r="A43" s="54" t="s">
        <v>12</v>
      </c>
      <c r="B43" s="57">
        <v>7255976</v>
      </c>
      <c r="C43" s="57">
        <v>6574610</v>
      </c>
      <c r="D43" s="57">
        <v>3006901</v>
      </c>
      <c r="E43" s="57">
        <v>6306032</v>
      </c>
      <c r="F43" s="57">
        <v>8719850</v>
      </c>
      <c r="G43" s="57">
        <v>11171727</v>
      </c>
      <c r="H43" s="57">
        <v>10589557</v>
      </c>
      <c r="I43" s="57">
        <v>18256921</v>
      </c>
      <c r="J43" s="57">
        <v>30780421</v>
      </c>
      <c r="K43" s="57">
        <v>56639919</v>
      </c>
      <c r="L43" s="57">
        <v>71164229</v>
      </c>
      <c r="M43" s="57">
        <v>82187558</v>
      </c>
      <c r="N43" s="57">
        <v>95752432</v>
      </c>
      <c r="O43" s="57">
        <v>88871087</v>
      </c>
      <c r="P43" s="57">
        <v>97514819</v>
      </c>
      <c r="Q43" s="57">
        <v>123132847</v>
      </c>
      <c r="R43" s="57">
        <v>146157789</v>
      </c>
      <c r="S43" s="57">
        <v>182082762</v>
      </c>
      <c r="T43" s="57">
        <v>297378698</v>
      </c>
      <c r="U43" s="57">
        <v>262035415</v>
      </c>
      <c r="V43" s="57">
        <v>375216794</v>
      </c>
      <c r="W43" s="57">
        <v>392188233</v>
      </c>
      <c r="X43" s="57">
        <v>569733119</v>
      </c>
      <c r="Y43" s="57">
        <v>486907275</v>
      </c>
      <c r="Z43" s="57">
        <v>456579516</v>
      </c>
      <c r="AA43" s="57">
        <v>486649004</v>
      </c>
      <c r="AB43" s="57">
        <v>474055567</v>
      </c>
      <c r="AC43" s="57">
        <v>522228623</v>
      </c>
      <c r="AD43" s="57">
        <v>590369152</v>
      </c>
      <c r="AE43" s="57">
        <v>670055889</v>
      </c>
      <c r="AF43" s="57">
        <v>787813714</v>
      </c>
      <c r="AG43" s="57">
        <v>755009734</v>
      </c>
      <c r="AH43" s="57">
        <v>777545180</v>
      </c>
      <c r="AI43" s="57">
        <v>738124837</v>
      </c>
      <c r="AJ43" s="57">
        <v>698803718</v>
      </c>
      <c r="AK43" s="57">
        <v>630322470</v>
      </c>
      <c r="AL43" s="57">
        <v>538293758</v>
      </c>
      <c r="AM43" s="57">
        <v>481797500</v>
      </c>
      <c r="AN43" s="57">
        <v>440582048</v>
      </c>
      <c r="AO43" s="57">
        <v>399485427</v>
      </c>
      <c r="AP43" s="57">
        <v>340271786</v>
      </c>
      <c r="AQ43" s="57">
        <v>316029895</v>
      </c>
      <c r="AR43" s="57">
        <v>267763259</v>
      </c>
      <c r="AS43" s="57">
        <v>233618910</v>
      </c>
      <c r="AT43" s="57">
        <v>203047876</v>
      </c>
      <c r="AU43" s="57">
        <v>177008417</v>
      </c>
      <c r="AV43" s="57"/>
    </row>
    <row r="44" spans="1:48" s="2" customFormat="1" x14ac:dyDescent="0.2">
      <c r="A44" s="54" t="s">
        <v>15</v>
      </c>
      <c r="B44" s="57">
        <v>50565</v>
      </c>
      <c r="C44" s="57">
        <v>1577008</v>
      </c>
      <c r="D44" s="57">
        <v>-806196</v>
      </c>
      <c r="E44" s="57">
        <v>1767451</v>
      </c>
      <c r="F44" s="57">
        <v>860115</v>
      </c>
      <c r="G44" s="57">
        <v>1030579</v>
      </c>
      <c r="H44" s="57">
        <v>1332717</v>
      </c>
      <c r="I44" s="57">
        <v>636589</v>
      </c>
      <c r="J44" s="57">
        <v>6867812</v>
      </c>
      <c r="K44" s="57">
        <v>1271400</v>
      </c>
      <c r="L44" s="57">
        <v>2523975</v>
      </c>
      <c r="M44" s="57">
        <v>4119152</v>
      </c>
      <c r="N44" s="57">
        <v>4649625</v>
      </c>
      <c r="O44" s="57">
        <v>2352233</v>
      </c>
      <c r="P44" s="57">
        <v>9610240</v>
      </c>
      <c r="Q44" s="57">
        <v>15553213</v>
      </c>
      <c r="R44" s="57">
        <v>12025624</v>
      </c>
      <c r="S44" s="57">
        <v>7470023</v>
      </c>
      <c r="T44" s="57">
        <v>6738615</v>
      </c>
      <c r="U44" s="57">
        <v>33075192</v>
      </c>
      <c r="V44" s="57">
        <v>59821660</v>
      </c>
      <c r="W44" s="57">
        <v>36972362</v>
      </c>
      <c r="X44" s="57">
        <v>73789585</v>
      </c>
      <c r="Y44" s="57">
        <v>76028591</v>
      </c>
      <c r="Z44" s="57">
        <v>119815804</v>
      </c>
      <c r="AA44" s="57">
        <v>119775996</v>
      </c>
      <c r="AB44" s="57">
        <v>119477691</v>
      </c>
      <c r="AC44" s="57">
        <v>107343438</v>
      </c>
      <c r="AD44" s="57">
        <v>109847337</v>
      </c>
      <c r="AE44" s="57">
        <v>150689480</v>
      </c>
      <c r="AF44" s="57">
        <v>159023436</v>
      </c>
      <c r="AG44" s="57">
        <v>102779185</v>
      </c>
      <c r="AH44" s="57">
        <v>123176197</v>
      </c>
      <c r="AI44" s="57">
        <v>125374077</v>
      </c>
      <c r="AJ44" s="57">
        <v>65767712</v>
      </c>
      <c r="AK44" s="57">
        <v>120832336</v>
      </c>
      <c r="AL44" s="57">
        <v>58767807</v>
      </c>
      <c r="AM44" s="57">
        <v>60815871</v>
      </c>
      <c r="AN44" s="57">
        <v>43685204</v>
      </c>
      <c r="AO44" s="57">
        <v>59770697</v>
      </c>
      <c r="AP44" s="57">
        <v>24395105</v>
      </c>
      <c r="AQ44" s="57">
        <v>72875173</v>
      </c>
      <c r="AR44" s="57">
        <v>54100393</v>
      </c>
      <c r="AS44" s="57">
        <v>31360623</v>
      </c>
      <c r="AT44" s="57">
        <v>37268594</v>
      </c>
      <c r="AU44" s="57">
        <v>59680924</v>
      </c>
      <c r="AV44" s="57"/>
    </row>
    <row r="45" spans="1:48" s="2" customFormat="1" x14ac:dyDescent="0.2">
      <c r="A45" s="54" t="s">
        <v>232</v>
      </c>
      <c r="B45" s="57">
        <v>62303265</v>
      </c>
      <c r="C45" s="57">
        <v>39788372</v>
      </c>
      <c r="D45" s="57">
        <v>44991578</v>
      </c>
      <c r="E45" s="57">
        <v>58785550</v>
      </c>
      <c r="F45" s="57">
        <v>110119597</v>
      </c>
      <c r="G45" s="57">
        <v>95104274</v>
      </c>
      <c r="H45" s="57">
        <v>90098589</v>
      </c>
      <c r="I45" s="57">
        <v>199652870</v>
      </c>
      <c r="J45" s="57">
        <v>298989776</v>
      </c>
      <c r="K45" s="57">
        <v>431724974</v>
      </c>
      <c r="L45" s="57">
        <v>518598768</v>
      </c>
      <c r="M45" s="57">
        <v>685028886</v>
      </c>
      <c r="N45" s="57">
        <v>716400817</v>
      </c>
      <c r="O45" s="57">
        <v>658946691</v>
      </c>
      <c r="P45" s="57">
        <v>1061714733</v>
      </c>
      <c r="Q45" s="57">
        <v>1240055113</v>
      </c>
      <c r="R45" s="57">
        <v>1472768021</v>
      </c>
      <c r="S45" s="57">
        <v>1650192386</v>
      </c>
      <c r="T45" s="57">
        <v>1978934069</v>
      </c>
      <c r="U45" s="57">
        <v>2336650051</v>
      </c>
      <c r="V45" s="57">
        <v>2686913801</v>
      </c>
      <c r="W45" s="57">
        <v>3141882685</v>
      </c>
      <c r="X45" s="57">
        <v>3244305292</v>
      </c>
      <c r="Y45" s="57">
        <v>3743161523</v>
      </c>
      <c r="Z45" s="57">
        <v>4190097465</v>
      </c>
      <c r="AA45" s="57">
        <v>4322432320</v>
      </c>
      <c r="AB45" s="57">
        <v>4817258503</v>
      </c>
      <c r="AC45" s="57">
        <v>5637085525</v>
      </c>
      <c r="AD45" s="57">
        <v>6335898686</v>
      </c>
      <c r="AE45" s="57">
        <v>7215932693</v>
      </c>
      <c r="AF45" s="57">
        <v>7798716231</v>
      </c>
      <c r="AG45" s="57">
        <v>8182426142</v>
      </c>
      <c r="AH45" s="57">
        <v>8047958856</v>
      </c>
      <c r="AI45" s="57">
        <v>7630946993</v>
      </c>
      <c r="AJ45" s="57">
        <v>7299912168</v>
      </c>
      <c r="AK45" s="57">
        <v>6603808994</v>
      </c>
      <c r="AL45" s="57">
        <v>6157067990</v>
      </c>
      <c r="AM45" s="57">
        <v>5417415320</v>
      </c>
      <c r="AN45" s="57">
        <v>5230112931</v>
      </c>
      <c r="AO45" s="57">
        <v>4733982536</v>
      </c>
      <c r="AP45" s="57">
        <v>4090210637</v>
      </c>
      <c r="AQ45" s="57">
        <v>3829161759</v>
      </c>
      <c r="AR45" s="57">
        <v>3473694406</v>
      </c>
      <c r="AS45" s="57">
        <v>3140821759</v>
      </c>
      <c r="AT45" s="57">
        <v>2846516510</v>
      </c>
      <c r="AU45" s="57">
        <v>2614890840</v>
      </c>
      <c r="AV45" s="57"/>
    </row>
    <row r="46" spans="1:48" s="2" customFormat="1" x14ac:dyDescent="0.2">
      <c r="A46" s="54" t="s">
        <v>231</v>
      </c>
      <c r="B46" s="52">
        <v>1023263</v>
      </c>
      <c r="C46" s="52">
        <v>-274578</v>
      </c>
      <c r="D46" s="52">
        <v>-1115229</v>
      </c>
      <c r="E46" s="52">
        <v>1116811</v>
      </c>
      <c r="F46" s="52">
        <v>1902455</v>
      </c>
      <c r="G46" s="52">
        <v>3429534</v>
      </c>
      <c r="H46" s="52">
        <v>4947427</v>
      </c>
      <c r="I46" s="52">
        <v>4248385</v>
      </c>
      <c r="J46" s="52">
        <v>10528944</v>
      </c>
      <c r="K46" s="52">
        <v>10910974</v>
      </c>
      <c r="L46" s="52">
        <v>18400800</v>
      </c>
      <c r="M46" s="52">
        <v>23809389</v>
      </c>
      <c r="N46" s="52">
        <v>27990639</v>
      </c>
      <c r="O46" s="52">
        <v>30521619</v>
      </c>
      <c r="P46" s="52">
        <v>114250820</v>
      </c>
      <c r="Q46" s="52">
        <v>132086644</v>
      </c>
      <c r="R46" s="52">
        <v>146491627</v>
      </c>
      <c r="S46" s="52">
        <v>157922956</v>
      </c>
      <c r="T46" s="52">
        <v>178004019</v>
      </c>
      <c r="U46" s="52">
        <v>221116551</v>
      </c>
      <c r="V46" s="52">
        <v>281344958</v>
      </c>
      <c r="W46" s="52">
        <v>325373699</v>
      </c>
      <c r="X46" s="52">
        <v>388986948</v>
      </c>
      <c r="Y46" s="52">
        <v>457804509</v>
      </c>
      <c r="Z46" s="52">
        <v>540157064</v>
      </c>
      <c r="AA46" s="52">
        <v>624402689</v>
      </c>
      <c r="AB46" s="52">
        <v>718882730</v>
      </c>
      <c r="AC46" s="52">
        <v>819505673</v>
      </c>
      <c r="AD46" s="52">
        <v>932090928</v>
      </c>
      <c r="AE46" s="52">
        <v>1146737877</v>
      </c>
      <c r="AF46" s="52">
        <v>1339424319</v>
      </c>
      <c r="AG46" s="52">
        <v>1457302696</v>
      </c>
      <c r="AH46" s="52">
        <v>1499838625</v>
      </c>
      <c r="AI46" s="52">
        <v>1596303554</v>
      </c>
      <c r="AJ46" s="52">
        <v>1609621203</v>
      </c>
      <c r="AK46" s="52">
        <v>1540858734</v>
      </c>
      <c r="AL46" s="52">
        <v>1517377544</v>
      </c>
      <c r="AM46" s="52">
        <v>1244911663</v>
      </c>
      <c r="AN46" s="52">
        <v>1457564185</v>
      </c>
      <c r="AO46" s="52">
        <v>875677770</v>
      </c>
      <c r="AP46" s="52">
        <v>1418699392</v>
      </c>
      <c r="AQ46" s="52">
        <v>1450195859</v>
      </c>
      <c r="AR46" s="52">
        <v>1524884038</v>
      </c>
      <c r="AS46" s="52">
        <v>1479328240</v>
      </c>
      <c r="AT46" s="52">
        <v>1471263289</v>
      </c>
      <c r="AU46" s="52">
        <v>1480849858</v>
      </c>
      <c r="AV46" s="52">
        <v>0</v>
      </c>
    </row>
    <row r="47" spans="1:48" s="3" customFormat="1" x14ac:dyDescent="0.2">
      <c r="A47" s="55" t="s">
        <v>9</v>
      </c>
      <c r="B47" s="55">
        <v>1.6423906515974723E-2</v>
      </c>
      <c r="C47" s="55">
        <v>-6.9009609139072088E-3</v>
      </c>
      <c r="D47" s="55">
        <v>-2.4787505786082898E-2</v>
      </c>
      <c r="E47" s="55">
        <v>1.8998053092979483E-2</v>
      </c>
      <c r="F47" s="55">
        <v>1.7276261917304327E-2</v>
      </c>
      <c r="G47" s="55">
        <v>3.6060776826917371E-2</v>
      </c>
      <c r="H47" s="55">
        <v>5.4911259487093633E-2</v>
      </c>
      <c r="I47" s="55">
        <v>2.1278857649278973E-2</v>
      </c>
      <c r="J47" s="55">
        <v>3.5215063674953223E-2</v>
      </c>
      <c r="K47" s="55">
        <v>2.5272973900277541E-2</v>
      </c>
      <c r="L47" s="55">
        <v>3.5481765741487453E-2</v>
      </c>
      <c r="M47" s="55">
        <v>3.475676644678017E-2</v>
      </c>
      <c r="N47" s="55">
        <v>3.9071199160846296E-2</v>
      </c>
      <c r="O47" s="55">
        <v>4.6318798495946917E-2</v>
      </c>
      <c r="P47" s="55">
        <v>0.10760971516065418</v>
      </c>
      <c r="Q47" s="55">
        <v>0.10651675285661276</v>
      </c>
      <c r="R47" s="55">
        <v>9.9466871164498219E-2</v>
      </c>
      <c r="S47" s="55">
        <v>9.5699724068415384E-2</v>
      </c>
      <c r="T47" s="55">
        <v>8.9949443889229444E-2</v>
      </c>
      <c r="U47" s="55">
        <v>9.4629724680154945E-2</v>
      </c>
      <c r="V47" s="55">
        <v>0.10470933525864903</v>
      </c>
      <c r="W47" s="55">
        <v>0.1035601044410097</v>
      </c>
      <c r="X47" s="55">
        <v>0.119898379773071</v>
      </c>
      <c r="Y47" s="55">
        <v>0.122304235654006</v>
      </c>
      <c r="Z47" s="55">
        <v>0.12891276838115268</v>
      </c>
      <c r="AA47" s="55">
        <v>0.14445632522940233</v>
      </c>
      <c r="AB47" s="55">
        <v>0.14923067332847262</v>
      </c>
      <c r="AC47" s="55">
        <v>0.14537754826772831</v>
      </c>
      <c r="AD47" s="55">
        <v>0.14711266296911871</v>
      </c>
      <c r="AE47" s="55">
        <v>0.15891748520775734</v>
      </c>
      <c r="AF47" s="55">
        <v>0.17174933403471851</v>
      </c>
      <c r="AG47" s="55">
        <v>0.17810153989899588</v>
      </c>
      <c r="AH47" s="55">
        <v>0.18636261092237374</v>
      </c>
      <c r="AI47" s="55">
        <v>0.20918813293609784</v>
      </c>
      <c r="AJ47" s="55">
        <v>0.220498708197608</v>
      </c>
      <c r="AK47" s="55">
        <v>0.23332878576590763</v>
      </c>
      <c r="AL47" s="55">
        <v>0.2464448251122853</v>
      </c>
      <c r="AM47" s="55">
        <v>0.22979808441195904</v>
      </c>
      <c r="AN47" s="55">
        <v>0.27868694313667774</v>
      </c>
      <c r="AO47" s="55">
        <v>0.18497697516643311</v>
      </c>
      <c r="AP47" s="55">
        <v>0.34685240392425298</v>
      </c>
      <c r="AQ47" s="55">
        <v>0.37872410471860662</v>
      </c>
      <c r="AR47" s="55">
        <v>0.43898048008083762</v>
      </c>
      <c r="AS47" s="55">
        <v>0.47100037936282013</v>
      </c>
      <c r="AT47" s="55">
        <v>0.51686448465391122</v>
      </c>
      <c r="AU47" s="55">
        <v>0.56631421677242944</v>
      </c>
      <c r="AV47" s="55" t="e">
        <v>#DIV/0!</v>
      </c>
    </row>
    <row r="49" spans="1:48" x14ac:dyDescent="0.2">
      <c r="A49" s="51"/>
      <c r="B49" s="52" t="s">
        <v>185</v>
      </c>
      <c r="C49" s="52" t="s">
        <v>186</v>
      </c>
      <c r="D49" s="52" t="s">
        <v>187</v>
      </c>
      <c r="E49" s="52" t="s">
        <v>188</v>
      </c>
      <c r="F49" s="52" t="s">
        <v>189</v>
      </c>
      <c r="G49" s="52" t="s">
        <v>190</v>
      </c>
      <c r="H49" s="52" t="s">
        <v>191</v>
      </c>
      <c r="I49" s="52" t="s">
        <v>192</v>
      </c>
      <c r="J49" s="52" t="s">
        <v>193</v>
      </c>
      <c r="K49" s="52" t="s">
        <v>194</v>
      </c>
      <c r="L49" s="52" t="s">
        <v>195</v>
      </c>
      <c r="M49" s="52" t="s">
        <v>196</v>
      </c>
      <c r="N49" s="52" t="s">
        <v>197</v>
      </c>
      <c r="O49" s="52" t="s">
        <v>198</v>
      </c>
      <c r="P49" s="52" t="s">
        <v>199</v>
      </c>
      <c r="Q49" s="52" t="s">
        <v>200</v>
      </c>
      <c r="R49" s="52" t="s">
        <v>201</v>
      </c>
      <c r="S49" s="52" t="s">
        <v>202</v>
      </c>
      <c r="T49" s="52" t="s">
        <v>203</v>
      </c>
      <c r="U49" s="52" t="s">
        <v>204</v>
      </c>
      <c r="V49" s="52" t="s">
        <v>205</v>
      </c>
      <c r="W49" s="52" t="s">
        <v>206</v>
      </c>
      <c r="X49" s="52" t="s">
        <v>207</v>
      </c>
      <c r="Y49" s="52" t="s">
        <v>208</v>
      </c>
      <c r="Z49" s="52" t="s">
        <v>209</v>
      </c>
      <c r="AA49" s="52" t="s">
        <v>210</v>
      </c>
      <c r="AB49" s="52" t="s">
        <v>211</v>
      </c>
      <c r="AC49" s="52" t="s">
        <v>212</v>
      </c>
      <c r="AD49" s="52" t="s">
        <v>213</v>
      </c>
      <c r="AE49" s="52" t="s">
        <v>214</v>
      </c>
      <c r="AF49" s="52" t="s">
        <v>215</v>
      </c>
      <c r="AG49" s="52" t="s">
        <v>216</v>
      </c>
      <c r="AH49" s="52" t="s">
        <v>217</v>
      </c>
      <c r="AI49" s="52" t="s">
        <v>218</v>
      </c>
      <c r="AJ49" s="52" t="s">
        <v>219</v>
      </c>
      <c r="AK49" s="52" t="s">
        <v>220</v>
      </c>
      <c r="AL49" s="52" t="s">
        <v>221</v>
      </c>
      <c r="AM49" s="52" t="s">
        <v>222</v>
      </c>
      <c r="AN49" s="52" t="s">
        <v>223</v>
      </c>
      <c r="AO49" s="52" t="s">
        <v>224</v>
      </c>
      <c r="AP49" s="52" t="s">
        <v>225</v>
      </c>
      <c r="AQ49" s="52" t="s">
        <v>226</v>
      </c>
      <c r="AR49" s="52" t="s">
        <v>227</v>
      </c>
      <c r="AS49" s="52" t="s">
        <v>228</v>
      </c>
      <c r="AT49" s="52" t="s">
        <v>229</v>
      </c>
      <c r="AU49" s="52" t="s">
        <v>230</v>
      </c>
      <c r="AV49" s="60"/>
    </row>
    <row r="50" spans="1:48" x14ac:dyDescent="0.2">
      <c r="A50" s="51" t="s">
        <v>20</v>
      </c>
      <c r="B50" s="52">
        <v>56467806</v>
      </c>
      <c r="C50" s="52">
        <v>27852749</v>
      </c>
      <c r="D50" s="52">
        <v>38742267</v>
      </c>
      <c r="E50" s="52">
        <v>39729896</v>
      </c>
      <c r="F50" s="52">
        <v>68839790</v>
      </c>
      <c r="G50" s="52">
        <v>72944271</v>
      </c>
      <c r="H50" s="52">
        <v>77292930</v>
      </c>
      <c r="I50" s="52">
        <v>137603039</v>
      </c>
      <c r="J50" s="52">
        <v>210117433</v>
      </c>
      <c r="K50" s="52">
        <v>340906414</v>
      </c>
      <c r="L50" s="52">
        <v>462114153</v>
      </c>
      <c r="M50" s="52">
        <v>605317992</v>
      </c>
      <c r="N50" s="52">
        <v>610811443</v>
      </c>
      <c r="O50" s="52">
        <v>548117784</v>
      </c>
      <c r="P50" s="52">
        <v>977261801</v>
      </c>
      <c r="Q50" s="52">
        <v>1148075293</v>
      </c>
      <c r="R50" s="52">
        <v>1336722065</v>
      </c>
      <c r="S50" s="52">
        <v>1574665736</v>
      </c>
      <c r="T50" s="52">
        <v>1909467695</v>
      </c>
      <c r="U50" s="52">
        <v>2233860907</v>
      </c>
      <c r="V50" s="52">
        <v>2564628088</v>
      </c>
      <c r="W50" s="52">
        <v>2932720782</v>
      </c>
      <c r="X50" s="52">
        <v>3060330824</v>
      </c>
      <c r="Y50" s="52">
        <v>3581582216</v>
      </c>
      <c r="Z50" s="52">
        <v>4003922329</v>
      </c>
      <c r="AA50" s="52">
        <v>4102242138</v>
      </c>
      <c r="AB50" s="52">
        <v>4585975330</v>
      </c>
      <c r="AC50" s="52">
        <v>5415534204</v>
      </c>
      <c r="AD50" s="52">
        <v>6058496101</v>
      </c>
      <c r="AE50" s="52">
        <v>6925468079</v>
      </c>
      <c r="AF50" s="52">
        <v>7566202310</v>
      </c>
      <c r="AG50" s="52">
        <v>7970472842</v>
      </c>
      <c r="AH50" s="52">
        <v>7839237083</v>
      </c>
      <c r="AI50" s="52">
        <v>7465974646</v>
      </c>
      <c r="AJ50" s="52">
        <v>7115508024</v>
      </c>
      <c r="AK50" s="52">
        <v>6167948401</v>
      </c>
      <c r="AL50" s="52">
        <v>5334141026</v>
      </c>
      <c r="AM50" s="52">
        <v>4947628206</v>
      </c>
      <c r="AN50" s="52">
        <v>4557057492</v>
      </c>
      <c r="AO50" s="52">
        <v>4070098489</v>
      </c>
      <c r="AP50" s="52">
        <v>3495128155</v>
      </c>
      <c r="AQ50" s="52">
        <v>3141588026</v>
      </c>
      <c r="AR50" s="52">
        <v>2815395687</v>
      </c>
      <c r="AS50" s="52">
        <v>2434952629</v>
      </c>
      <c r="AT50" s="52">
        <v>2104718322</v>
      </c>
      <c r="AU50" s="52">
        <v>1894483733</v>
      </c>
      <c r="AV50" s="4">
        <v>0</v>
      </c>
    </row>
    <row r="51" spans="1:48" x14ac:dyDescent="0.2">
      <c r="A51" s="51" t="s">
        <v>21</v>
      </c>
      <c r="B51" s="52">
        <v>60000000</v>
      </c>
      <c r="C51" s="52">
        <v>39000000</v>
      </c>
      <c r="D51" s="52">
        <v>45000000</v>
      </c>
      <c r="E51" s="52">
        <v>55000000</v>
      </c>
      <c r="F51" s="52">
        <v>101900000</v>
      </c>
      <c r="G51" s="52">
        <v>86100000</v>
      </c>
      <c r="H51" s="52">
        <v>78600000</v>
      </c>
      <c r="I51" s="52">
        <v>183100000</v>
      </c>
      <c r="J51" s="52">
        <v>272600000</v>
      </c>
      <c r="K51" s="52">
        <v>321550000</v>
      </c>
      <c r="L51" s="52">
        <v>393657000</v>
      </c>
      <c r="M51" s="52">
        <v>604980400</v>
      </c>
      <c r="N51" s="52">
        <v>645000000</v>
      </c>
      <c r="O51" s="52">
        <v>590000000</v>
      </c>
      <c r="P51" s="52">
        <v>905000000</v>
      </c>
      <c r="Q51" s="52">
        <v>1058099869</v>
      </c>
      <c r="R51" s="52">
        <v>1261886480</v>
      </c>
      <c r="S51" s="52">
        <v>1420160735</v>
      </c>
      <c r="T51" s="52">
        <v>1694146360</v>
      </c>
      <c r="U51" s="52">
        <v>1979916857</v>
      </c>
      <c r="V51" s="52">
        <v>2235884261</v>
      </c>
      <c r="W51" s="52">
        <v>2643455535</v>
      </c>
      <c r="X51" s="52">
        <v>2719527471</v>
      </c>
      <c r="Y51" s="52">
        <v>3153997281</v>
      </c>
      <c r="Z51" s="52">
        <v>3500310515</v>
      </c>
      <c r="AA51" s="52">
        <v>3552011194</v>
      </c>
      <c r="AB51" s="52">
        <v>3935335449</v>
      </c>
      <c r="AC51" s="52">
        <v>4214754287</v>
      </c>
      <c r="AD51" s="52">
        <v>4862000000</v>
      </c>
      <c r="AE51" s="52">
        <v>5393531577</v>
      </c>
      <c r="AF51" s="52">
        <v>5722201988</v>
      </c>
      <c r="AG51" s="52">
        <v>6169460796</v>
      </c>
      <c r="AH51" s="52">
        <v>6025694408</v>
      </c>
      <c r="AI51" s="52">
        <v>5707401544</v>
      </c>
      <c r="AJ51" s="52">
        <v>5209257778</v>
      </c>
      <c r="AK51" s="52">
        <v>4768492682</v>
      </c>
      <c r="AL51" s="52">
        <v>4479998866</v>
      </c>
      <c r="AM51" s="52">
        <v>3911871805</v>
      </c>
      <c r="AN51" s="52">
        <v>3500290961</v>
      </c>
      <c r="AO51" s="52">
        <v>3142982057</v>
      </c>
      <c r="AP51" s="52">
        <v>2615026484</v>
      </c>
      <c r="AQ51" s="52">
        <v>2287394117</v>
      </c>
      <c r="AR51" s="52">
        <v>1873861231</v>
      </c>
      <c r="AS51" s="52">
        <v>1548811522</v>
      </c>
      <c r="AT51" s="52">
        <v>1268932009</v>
      </c>
      <c r="AU51" s="52">
        <v>1058581768</v>
      </c>
    </row>
    <row r="52" spans="1:48" x14ac:dyDescent="0.2">
      <c r="A52" s="51" t="s">
        <v>3</v>
      </c>
      <c r="B52" s="52">
        <v>507500</v>
      </c>
      <c r="C52" s="52">
        <v>991000</v>
      </c>
      <c r="D52" s="52">
        <v>891000</v>
      </c>
      <c r="E52" s="52">
        <v>1240500</v>
      </c>
      <c r="F52" s="52">
        <v>1761000</v>
      </c>
      <c r="G52" s="52">
        <v>2106000</v>
      </c>
      <c r="H52" s="52">
        <v>2214000</v>
      </c>
      <c r="I52" s="52">
        <v>2846000</v>
      </c>
      <c r="J52" s="52">
        <v>2808000</v>
      </c>
      <c r="K52" s="52">
        <v>5998500</v>
      </c>
      <c r="L52" s="52">
        <v>11698969</v>
      </c>
      <c r="M52" s="52">
        <v>18147500</v>
      </c>
      <c r="N52" s="52">
        <v>21274000</v>
      </c>
      <c r="O52" s="52">
        <v>24246331</v>
      </c>
      <c r="P52" s="52">
        <v>106193674</v>
      </c>
      <c r="Q52" s="52">
        <v>117599803</v>
      </c>
      <c r="R52" s="52">
        <v>131227450</v>
      </c>
      <c r="S52" s="52">
        <v>138978980</v>
      </c>
      <c r="T52" s="52">
        <v>160903445</v>
      </c>
      <c r="U52" s="52">
        <v>181076991</v>
      </c>
      <c r="V52" s="52">
        <v>222661591</v>
      </c>
      <c r="W52" s="52">
        <v>256665890</v>
      </c>
      <c r="X52" s="52">
        <v>281799053</v>
      </c>
      <c r="Y52" s="52">
        <v>325628242</v>
      </c>
      <c r="Z52" s="52">
        <v>359110500</v>
      </c>
      <c r="AA52" s="52">
        <v>400766500</v>
      </c>
      <c r="AB52" s="52">
        <v>456753500</v>
      </c>
      <c r="AC52" s="52">
        <v>526283000</v>
      </c>
      <c r="AD52" s="52">
        <v>610693000</v>
      </c>
      <c r="AE52" s="52">
        <v>767294500</v>
      </c>
      <c r="AF52" s="52">
        <v>898358000</v>
      </c>
      <c r="AG52" s="52">
        <v>998373500</v>
      </c>
      <c r="AH52" s="52">
        <v>1014793500</v>
      </c>
      <c r="AI52" s="52">
        <v>1063673000</v>
      </c>
      <c r="AJ52" s="52">
        <v>1073210000</v>
      </c>
      <c r="AK52" s="52">
        <v>944397500</v>
      </c>
      <c r="AL52" s="52">
        <v>910822500</v>
      </c>
      <c r="AM52" s="52">
        <v>882198500</v>
      </c>
      <c r="AN52" s="52">
        <v>857604500</v>
      </c>
      <c r="AO52" s="52">
        <v>813657000</v>
      </c>
      <c r="AP52" s="52">
        <v>783969000</v>
      </c>
      <c r="AQ52" s="52">
        <v>768776000</v>
      </c>
      <c r="AR52" s="52">
        <v>815266000</v>
      </c>
      <c r="AS52" s="52">
        <v>757387000</v>
      </c>
      <c r="AT52" s="52">
        <v>730070000</v>
      </c>
      <c r="AU52" s="52">
        <v>700307500</v>
      </c>
    </row>
    <row r="53" spans="1:48" x14ac:dyDescent="0.2">
      <c r="A53" s="51" t="s">
        <v>4</v>
      </c>
      <c r="B53" s="52">
        <v>515763</v>
      </c>
      <c r="C53" s="52">
        <v>-1265578</v>
      </c>
      <c r="D53" s="52">
        <v>-2006229</v>
      </c>
      <c r="E53" s="52">
        <v>-123689</v>
      </c>
      <c r="F53" s="52">
        <v>141455</v>
      </c>
      <c r="G53" s="52">
        <v>1323534</v>
      </c>
      <c r="H53" s="52">
        <v>2733427</v>
      </c>
      <c r="I53" s="52">
        <v>1402385</v>
      </c>
      <c r="J53" s="52">
        <v>7720944</v>
      </c>
      <c r="K53" s="52">
        <v>4912474</v>
      </c>
      <c r="L53" s="52">
        <v>6701831</v>
      </c>
      <c r="M53" s="52">
        <v>5661889</v>
      </c>
      <c r="N53" s="52">
        <v>6716639</v>
      </c>
      <c r="O53" s="52">
        <v>6275288</v>
      </c>
      <c r="P53" s="52">
        <v>8057146</v>
      </c>
      <c r="Q53" s="52">
        <v>14486841</v>
      </c>
      <c r="R53" s="52">
        <v>15264177</v>
      </c>
      <c r="S53" s="52">
        <v>18943976</v>
      </c>
      <c r="T53" s="52">
        <v>17100574</v>
      </c>
      <c r="U53" s="52">
        <v>40039560</v>
      </c>
      <c r="V53" s="52">
        <v>58683367</v>
      </c>
      <c r="W53" s="52">
        <v>68707809</v>
      </c>
      <c r="X53" s="52">
        <v>107187895</v>
      </c>
      <c r="Y53" s="52">
        <v>132176267</v>
      </c>
      <c r="Z53" s="52">
        <v>181046564</v>
      </c>
      <c r="AA53" s="52">
        <v>223636189</v>
      </c>
      <c r="AB53" s="52">
        <v>262129230</v>
      </c>
      <c r="AC53" s="52">
        <v>293222673</v>
      </c>
      <c r="AD53" s="52">
        <v>321397928</v>
      </c>
      <c r="AE53" s="52">
        <v>379443377</v>
      </c>
      <c r="AF53" s="52">
        <v>441066319</v>
      </c>
      <c r="AG53" s="52">
        <v>458929196</v>
      </c>
      <c r="AH53" s="52">
        <v>485045125</v>
      </c>
      <c r="AI53" s="52">
        <v>532630554</v>
      </c>
      <c r="AJ53" s="52">
        <v>536411203</v>
      </c>
      <c r="AK53" s="52">
        <v>596461234</v>
      </c>
      <c r="AL53" s="52">
        <v>606555044</v>
      </c>
      <c r="AM53" s="52">
        <v>362713163</v>
      </c>
      <c r="AN53" s="52">
        <v>599959685</v>
      </c>
      <c r="AO53" s="52">
        <v>623020770</v>
      </c>
      <c r="AP53" s="52">
        <v>634730392</v>
      </c>
      <c r="AQ53" s="52">
        <v>681419859</v>
      </c>
      <c r="AR53" s="52">
        <v>709618038</v>
      </c>
      <c r="AS53" s="52">
        <v>721941240</v>
      </c>
      <c r="AT53" s="52">
        <v>741193289</v>
      </c>
      <c r="AU53" s="52">
        <v>780542358</v>
      </c>
    </row>
    <row r="99" spans="1:48" x14ac:dyDescent="0.2">
      <c r="A99" s="69" t="s">
        <v>286</v>
      </c>
      <c r="B99" s="69" t="s">
        <v>287</v>
      </c>
      <c r="C99" s="69" t="s">
        <v>288</v>
      </c>
      <c r="D99" s="69" t="s">
        <v>289</v>
      </c>
      <c r="E99" s="69" t="s">
        <v>290</v>
      </c>
      <c r="F99" s="69" t="s">
        <v>291</v>
      </c>
      <c r="G99" s="69" t="s">
        <v>292</v>
      </c>
      <c r="H99" s="69" t="s">
        <v>293</v>
      </c>
      <c r="I99" s="69" t="s">
        <v>294</v>
      </c>
      <c r="J99" s="69" t="s">
        <v>295</v>
      </c>
      <c r="K99" s="69" t="s">
        <v>296</v>
      </c>
      <c r="L99" s="69" t="s">
        <v>297</v>
      </c>
      <c r="M99" s="69" t="s">
        <v>298</v>
      </c>
      <c r="N99" s="69" t="s">
        <v>299</v>
      </c>
      <c r="O99" s="69" t="s">
        <v>300</v>
      </c>
      <c r="P99" s="69" t="s">
        <v>301</v>
      </c>
      <c r="Q99" s="69" t="s">
        <v>302</v>
      </c>
      <c r="R99" s="69" t="s">
        <v>303</v>
      </c>
      <c r="S99" s="69" t="s">
        <v>304</v>
      </c>
      <c r="T99" s="69" t="s">
        <v>305</v>
      </c>
      <c r="U99" s="69" t="s">
        <v>306</v>
      </c>
      <c r="V99" s="69" t="s">
        <v>307</v>
      </c>
      <c r="W99" s="69" t="s">
        <v>308</v>
      </c>
      <c r="X99" s="69" t="s">
        <v>309</v>
      </c>
      <c r="Y99" s="69" t="s">
        <v>310</v>
      </c>
      <c r="Z99" s="69" t="s">
        <v>311</v>
      </c>
      <c r="AA99" s="69" t="s">
        <v>312</v>
      </c>
      <c r="AB99" s="69" t="s">
        <v>313</v>
      </c>
      <c r="AC99" s="69" t="s">
        <v>314</v>
      </c>
      <c r="AD99" s="69" t="s">
        <v>315</v>
      </c>
      <c r="AE99" s="69" t="s">
        <v>316</v>
      </c>
      <c r="AF99" s="69" t="s">
        <v>317</v>
      </c>
      <c r="AG99" s="69" t="s">
        <v>318</v>
      </c>
      <c r="AH99" s="69" t="s">
        <v>319</v>
      </c>
      <c r="AI99" s="69" t="s">
        <v>320</v>
      </c>
      <c r="AJ99" s="69" t="s">
        <v>321</v>
      </c>
      <c r="AK99" s="69" t="s">
        <v>322</v>
      </c>
      <c r="AL99" s="69" t="s">
        <v>323</v>
      </c>
      <c r="AM99" s="69" t="s">
        <v>324</v>
      </c>
      <c r="AN99" s="69" t="s">
        <v>325</v>
      </c>
      <c r="AO99" s="69" t="s">
        <v>326</v>
      </c>
      <c r="AP99" s="69" t="s">
        <v>327</v>
      </c>
      <c r="AQ99" s="69" t="s">
        <v>328</v>
      </c>
      <c r="AR99" s="69" t="s">
        <v>329</v>
      </c>
      <c r="AS99" s="69" t="s">
        <v>330</v>
      </c>
      <c r="AT99" s="69" t="s">
        <v>331</v>
      </c>
      <c r="AU99" s="69" t="s">
        <v>332</v>
      </c>
      <c r="AV99" s="69" t="s">
        <v>333</v>
      </c>
    </row>
    <row r="100" spans="1:48" x14ac:dyDescent="0.2">
      <c r="A100" s="68" t="s">
        <v>334</v>
      </c>
      <c r="B100" s="69">
        <v>56467.805999999997</v>
      </c>
      <c r="C100" s="69">
        <v>27852.749</v>
      </c>
      <c r="D100" s="69">
        <v>38742.267</v>
      </c>
      <c r="E100" s="69">
        <v>39729.896000000001</v>
      </c>
      <c r="F100" s="69">
        <v>68839.789999999994</v>
      </c>
      <c r="G100" s="69">
        <v>72944.270999999993</v>
      </c>
      <c r="H100" s="69">
        <v>77292.929999999993</v>
      </c>
      <c r="I100" s="69">
        <v>137603.03899999999</v>
      </c>
      <c r="J100" s="69">
        <v>210117.43299999999</v>
      </c>
      <c r="K100" s="69">
        <v>340906.41399999999</v>
      </c>
      <c r="L100" s="69">
        <v>462114.15299999999</v>
      </c>
      <c r="M100" s="69">
        <v>605317.99199999997</v>
      </c>
      <c r="N100" s="69">
        <v>610811.44299999997</v>
      </c>
      <c r="O100" s="69">
        <v>548117.78399999999</v>
      </c>
      <c r="P100" s="69">
        <v>977261.80099999998</v>
      </c>
      <c r="Q100" s="69">
        <v>1148075.2930000001</v>
      </c>
      <c r="R100" s="69">
        <v>1336722.0649999999</v>
      </c>
      <c r="S100" s="69">
        <v>1574665.736</v>
      </c>
      <c r="T100" s="69">
        <v>1909467.6950000001</v>
      </c>
      <c r="U100" s="69">
        <v>2233860.9070000001</v>
      </c>
      <c r="V100" s="69">
        <v>2564628.088</v>
      </c>
      <c r="W100" s="69">
        <v>2932720.7820000001</v>
      </c>
      <c r="X100" s="69">
        <v>3060330.824</v>
      </c>
      <c r="Y100" s="69">
        <v>3581582.216</v>
      </c>
      <c r="Z100" s="69">
        <v>4003922.3289999999</v>
      </c>
      <c r="AA100" s="69">
        <v>4102242.1379999998</v>
      </c>
      <c r="AB100" s="69">
        <v>4585975.33</v>
      </c>
      <c r="AC100" s="69">
        <v>5415534.2039999999</v>
      </c>
      <c r="AD100" s="69">
        <v>6058496.1009999998</v>
      </c>
      <c r="AE100" s="69">
        <v>6925468.0789999999</v>
      </c>
      <c r="AF100" s="69">
        <v>7566202.3099999996</v>
      </c>
      <c r="AG100" s="69">
        <v>7970472.8420000002</v>
      </c>
      <c r="AH100" s="69">
        <v>7839237.0829999996</v>
      </c>
      <c r="AI100" s="69">
        <v>7465974.6459999997</v>
      </c>
      <c r="AJ100" s="69">
        <v>7115508.2400000002</v>
      </c>
      <c r="AK100" s="69">
        <v>6167948.4009999996</v>
      </c>
      <c r="AL100" s="69">
        <v>5334141.0259999996</v>
      </c>
      <c r="AM100" s="69">
        <v>4947628.2060000002</v>
      </c>
      <c r="AN100" s="69">
        <v>4557057.4919999996</v>
      </c>
      <c r="AO100" s="69">
        <v>4070098.4890000001</v>
      </c>
      <c r="AP100" s="69">
        <v>3495128.1549999998</v>
      </c>
      <c r="AQ100" s="69">
        <v>3141588.0260000001</v>
      </c>
      <c r="AR100" s="69">
        <v>2815395.6869999999</v>
      </c>
      <c r="AS100" s="69">
        <v>2434952.6290000002</v>
      </c>
      <c r="AT100" s="69">
        <v>2190567</v>
      </c>
      <c r="AU100" s="69">
        <v>1985979</v>
      </c>
      <c r="AV100" s="69">
        <v>1864252</v>
      </c>
    </row>
    <row r="101" spans="1:48" x14ac:dyDescent="0.2">
      <c r="A101" s="68" t="s">
        <v>335</v>
      </c>
      <c r="B101" s="70">
        <v>1.6423906515974722</v>
      </c>
      <c r="C101" s="70">
        <v>-0.69009609139072092</v>
      </c>
      <c r="D101" s="70">
        <v>-2.47875057860829</v>
      </c>
      <c r="E101" s="70">
        <v>1.8998053092979483</v>
      </c>
      <c r="F101" s="70">
        <v>1.7276261917304327</v>
      </c>
      <c r="G101" s="70">
        <v>3.6060776826917369</v>
      </c>
      <c r="H101" s="70">
        <v>5.4911259487093638</v>
      </c>
      <c r="I101" s="70">
        <v>2.127885764927897</v>
      </c>
      <c r="J101" s="70">
        <v>3.5215063674953222</v>
      </c>
      <c r="K101" s="70">
        <v>2.527297390027754</v>
      </c>
      <c r="L101" s="70">
        <v>3.5481765741487452</v>
      </c>
      <c r="M101" s="70">
        <v>3.4756766446780172</v>
      </c>
      <c r="N101" s="70">
        <v>3.9071199160846297</v>
      </c>
      <c r="O101" s="70">
        <v>4.631879849594692</v>
      </c>
      <c r="P101" s="70">
        <v>10.760971516065418</v>
      </c>
      <c r="Q101" s="70">
        <v>10.651675285661275</v>
      </c>
      <c r="R101" s="70">
        <v>9.9466871164498212</v>
      </c>
      <c r="S101" s="70">
        <v>9.5699724068415382</v>
      </c>
      <c r="T101" s="70">
        <v>8.9949443889229439</v>
      </c>
      <c r="U101" s="70">
        <v>9.4629724680154936</v>
      </c>
      <c r="V101" s="70">
        <v>10.470933525864904</v>
      </c>
      <c r="W101" s="70">
        <v>10.356010444100971</v>
      </c>
      <c r="X101" s="70">
        <v>11.989837977307099</v>
      </c>
      <c r="Y101" s="70">
        <v>12.230423565400599</v>
      </c>
      <c r="Z101" s="70">
        <v>12.891276838115267</v>
      </c>
      <c r="AA101" s="70">
        <v>14.445632522940233</v>
      </c>
      <c r="AB101" s="70">
        <v>14.923067332847262</v>
      </c>
      <c r="AC101" s="70">
        <v>14.537754826772831</v>
      </c>
      <c r="AD101" s="70">
        <v>14.711266296911871</v>
      </c>
      <c r="AE101" s="70">
        <v>15.891748520775733</v>
      </c>
      <c r="AF101" s="70">
        <v>17.174933403471851</v>
      </c>
      <c r="AG101" s="70">
        <v>17.81015398989959</v>
      </c>
      <c r="AH101" s="70">
        <v>18.636261092237376</v>
      </c>
      <c r="AI101" s="70">
        <v>20.918813293609784</v>
      </c>
      <c r="AJ101" s="70">
        <v>22.049870819760802</v>
      </c>
      <c r="AK101" s="70">
        <v>23.332878576590762</v>
      </c>
      <c r="AL101" s="70">
        <v>24.644482511228532</v>
      </c>
      <c r="AM101" s="70">
        <v>22.979808441195903</v>
      </c>
      <c r="AN101" s="70">
        <v>27.868694313667774</v>
      </c>
      <c r="AO101" s="70">
        <v>35.299999999999997</v>
      </c>
      <c r="AP101" s="70">
        <v>34.6852403924253</v>
      </c>
      <c r="AQ101" s="70">
        <v>37.872410471860661</v>
      </c>
      <c r="AR101" s="70">
        <v>43.898048008083762</v>
      </c>
      <c r="AS101" s="70">
        <v>47.100037936282014</v>
      </c>
      <c r="AT101" s="70">
        <v>51.686448465391123</v>
      </c>
      <c r="AU101" s="70">
        <v>56.63142167724294</v>
      </c>
      <c r="AV101" s="70">
        <v>58.9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C6F9D-C463-498A-8898-2C23F8CBE495}">
  <sheetPr>
    <pageSetUpPr fitToPage="1"/>
  </sheetPr>
  <dimension ref="A1:J63"/>
  <sheetViews>
    <sheetView topLeftCell="A45" workbookViewId="0">
      <selection activeCell="G55" sqref="G55"/>
    </sheetView>
  </sheetViews>
  <sheetFormatPr defaultRowHeight="13" x14ac:dyDescent="0.2"/>
  <cols>
    <col min="1" max="1" width="15.81640625" style="33" customWidth="1"/>
    <col min="2" max="2" width="7.36328125" style="7" customWidth="1"/>
    <col min="3" max="3" width="12.08984375" style="7" customWidth="1"/>
    <col min="4" max="4" width="6.36328125" style="7" customWidth="1"/>
    <col min="5" max="5" width="12.08984375" style="7" bestFit="1" customWidth="1"/>
    <col min="6" max="6" width="5.90625" style="7" customWidth="1"/>
    <col min="7" max="7" width="12.81640625" style="7" customWidth="1"/>
    <col min="8" max="8" width="13" style="7" customWidth="1"/>
    <col min="9" max="9" width="11.7265625" style="7" customWidth="1"/>
    <col min="10" max="10" width="6.90625" style="8" customWidth="1"/>
  </cols>
  <sheetData>
    <row r="1" spans="1:10" x14ac:dyDescent="0.2">
      <c r="A1" s="33" t="s">
        <v>0</v>
      </c>
      <c r="B1" s="6" t="s">
        <v>155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>
        <v>139</v>
      </c>
      <c r="C5" s="24">
        <v>218939428</v>
      </c>
      <c r="D5" s="24">
        <v>59</v>
      </c>
      <c r="E5" s="24">
        <v>69066711</v>
      </c>
      <c r="F5" s="24">
        <v>205</v>
      </c>
      <c r="G5" s="24">
        <v>280416519</v>
      </c>
      <c r="H5" s="24">
        <v>209133299</v>
      </c>
      <c r="I5" s="24">
        <v>27306604</v>
      </c>
      <c r="J5" s="38">
        <v>0.1305</v>
      </c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139</v>
      </c>
      <c r="C17" s="25">
        <v>218939428</v>
      </c>
      <c r="D17" s="25">
        <v>59</v>
      </c>
      <c r="E17" s="25">
        <v>69066711</v>
      </c>
      <c r="F17" s="25">
        <v>205</v>
      </c>
      <c r="G17" s="25">
        <v>280416519</v>
      </c>
      <c r="H17" s="25">
        <v>209133299</v>
      </c>
      <c r="I17" s="25">
        <v>27306604</v>
      </c>
      <c r="J17" s="39">
        <v>0.1305</v>
      </c>
    </row>
    <row r="18" spans="1:10" x14ac:dyDescent="0.2">
      <c r="A18" s="35" t="s">
        <v>90</v>
      </c>
      <c r="B18" s="24">
        <v>2038</v>
      </c>
      <c r="C18" s="24">
        <v>150207657</v>
      </c>
      <c r="D18" s="24">
        <v>2294</v>
      </c>
      <c r="E18" s="24">
        <v>133875766</v>
      </c>
      <c r="F18" s="24">
        <v>853</v>
      </c>
      <c r="G18" s="24">
        <v>154550506</v>
      </c>
      <c r="H18" s="24">
        <v>144146067</v>
      </c>
      <c r="I18" s="24">
        <v>17103416</v>
      </c>
      <c r="J18" s="38">
        <v>0.1186</v>
      </c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153</v>
      </c>
      <c r="C25" s="24">
        <v>221647310</v>
      </c>
      <c r="D25" s="24">
        <v>141</v>
      </c>
      <c r="E25" s="24">
        <v>165493143</v>
      </c>
      <c r="F25" s="24">
        <v>332</v>
      </c>
      <c r="G25" s="24">
        <v>315730285</v>
      </c>
      <c r="H25" s="24">
        <v>287744108</v>
      </c>
      <c r="I25" s="24">
        <v>39968955</v>
      </c>
      <c r="J25" s="38">
        <v>0.1389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2191</v>
      </c>
      <c r="C31" s="25">
        <v>371854967</v>
      </c>
      <c r="D31" s="25">
        <v>2435</v>
      </c>
      <c r="E31" s="25">
        <v>299368909</v>
      </c>
      <c r="F31" s="25">
        <v>1185</v>
      </c>
      <c r="G31" s="25">
        <v>470280791</v>
      </c>
      <c r="H31" s="25">
        <v>431890175</v>
      </c>
      <c r="I31" s="25">
        <v>57072371</v>
      </c>
      <c r="J31" s="39">
        <v>0.12875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>
        <v>24</v>
      </c>
      <c r="C36" s="24">
        <v>128057148</v>
      </c>
      <c r="D36" s="24">
        <v>31</v>
      </c>
      <c r="E36" s="24">
        <v>135482441</v>
      </c>
      <c r="F36" s="24">
        <v>57</v>
      </c>
      <c r="G36" s="24">
        <v>145721719</v>
      </c>
      <c r="H36" s="24">
        <v>146920305</v>
      </c>
      <c r="I36" s="24">
        <v>21673178</v>
      </c>
      <c r="J36" s="38">
        <v>0.14749999999999999</v>
      </c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24</v>
      </c>
      <c r="C38" s="25">
        <v>128057148</v>
      </c>
      <c r="D38" s="25">
        <v>31</v>
      </c>
      <c r="E38" s="25">
        <v>135482441</v>
      </c>
      <c r="F38" s="25">
        <v>57</v>
      </c>
      <c r="G38" s="25">
        <v>145721719</v>
      </c>
      <c r="H38" s="25">
        <v>146920305</v>
      </c>
      <c r="I38" s="25">
        <v>21673178</v>
      </c>
      <c r="J38" s="39">
        <v>0.14749999999999999</v>
      </c>
    </row>
    <row r="39" spans="1:10" ht="24" x14ac:dyDescent="0.2">
      <c r="A39" s="35" t="s">
        <v>87</v>
      </c>
      <c r="B39" s="24">
        <v>192</v>
      </c>
      <c r="C39" s="24">
        <v>196991049</v>
      </c>
      <c r="D39" s="24">
        <v>220</v>
      </c>
      <c r="E39" s="24">
        <v>168790657</v>
      </c>
      <c r="F39" s="24">
        <v>350</v>
      </c>
      <c r="G39" s="24">
        <v>277362930</v>
      </c>
      <c r="H39" s="24">
        <v>248819302</v>
      </c>
      <c r="I39" s="24">
        <v>33989988</v>
      </c>
      <c r="J39" s="38">
        <v>0.1366</v>
      </c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192</v>
      </c>
      <c r="C47" s="25">
        <v>196991049</v>
      </c>
      <c r="D47" s="25">
        <v>220</v>
      </c>
      <c r="E47" s="25">
        <v>168790657</v>
      </c>
      <c r="F47" s="25">
        <v>350</v>
      </c>
      <c r="G47" s="25">
        <v>277362930</v>
      </c>
      <c r="H47" s="25">
        <v>248819302</v>
      </c>
      <c r="I47" s="25">
        <v>33989988</v>
      </c>
      <c r="J47" s="39">
        <v>0.1366</v>
      </c>
    </row>
    <row r="48" spans="1:10" x14ac:dyDescent="0.2">
      <c r="A48" s="35" t="s">
        <v>58</v>
      </c>
      <c r="B48" s="24">
        <v>58</v>
      </c>
      <c r="C48" s="24">
        <v>119971113</v>
      </c>
      <c r="D48" s="24">
        <v>81</v>
      </c>
      <c r="E48" s="24">
        <v>125386539</v>
      </c>
      <c r="F48" s="24">
        <v>261</v>
      </c>
      <c r="G48" s="24">
        <v>308879334</v>
      </c>
      <c r="H48" s="24">
        <v>305720169</v>
      </c>
      <c r="I48" s="24">
        <v>24177154</v>
      </c>
      <c r="J48" s="38">
        <v>7.9000000000000001E-2</v>
      </c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>
        <v>2361</v>
      </c>
      <c r="C50" s="24">
        <v>65209035</v>
      </c>
      <c r="D50" s="24">
        <v>2644</v>
      </c>
      <c r="E50" s="24">
        <v>66789255</v>
      </c>
      <c r="F50" s="24">
        <v>2273</v>
      </c>
      <c r="G50" s="24">
        <v>31574590</v>
      </c>
      <c r="H50" s="24">
        <v>29954974</v>
      </c>
      <c r="I50" s="24">
        <v>6537120</v>
      </c>
      <c r="J50" s="38">
        <v>0.21820000000000001</v>
      </c>
    </row>
    <row r="51" spans="1:10" x14ac:dyDescent="0.2">
      <c r="A51" s="35" t="s">
        <v>79</v>
      </c>
      <c r="B51" s="24">
        <v>3</v>
      </c>
      <c r="C51" s="24">
        <v>1530045</v>
      </c>
      <c r="D51" s="24">
        <v>6</v>
      </c>
      <c r="E51" s="24">
        <v>4204578</v>
      </c>
      <c r="F51" s="24">
        <v>11</v>
      </c>
      <c r="G51" s="24">
        <v>6076313</v>
      </c>
      <c r="H51" s="24">
        <v>7634867</v>
      </c>
      <c r="I51" s="24">
        <v>688801</v>
      </c>
      <c r="J51" s="38">
        <v>9.0200000000000002E-2</v>
      </c>
    </row>
    <row r="52" spans="1:10" x14ac:dyDescent="0.2">
      <c r="A52" s="36" t="s">
        <v>73</v>
      </c>
      <c r="B52" s="25">
        <v>2422</v>
      </c>
      <c r="C52" s="25">
        <v>186710193</v>
      </c>
      <c r="D52" s="25">
        <v>2731</v>
      </c>
      <c r="E52" s="25">
        <v>196380372</v>
      </c>
      <c r="F52" s="25">
        <v>2545</v>
      </c>
      <c r="G52" s="25">
        <v>346530237</v>
      </c>
      <c r="H52" s="25">
        <v>343310010</v>
      </c>
      <c r="I52" s="25">
        <v>31403075</v>
      </c>
      <c r="J52" s="39">
        <v>0.12913333333333335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>
        <v>33</v>
      </c>
      <c r="C61" s="24">
        <v>49510000</v>
      </c>
      <c r="D61" s="24">
        <v>38</v>
      </c>
      <c r="E61" s="24">
        <v>45030024</v>
      </c>
      <c r="F61" s="24">
        <v>44</v>
      </c>
      <c r="G61" s="24">
        <v>54353540</v>
      </c>
      <c r="H61" s="24">
        <v>57492952</v>
      </c>
      <c r="I61" s="24">
        <v>5002525</v>
      </c>
      <c r="J61" s="38">
        <v>8.6999999999999994E-2</v>
      </c>
    </row>
    <row r="62" spans="1:10" x14ac:dyDescent="0.2">
      <c r="A62" s="36" t="s">
        <v>73</v>
      </c>
      <c r="B62" s="25">
        <v>33</v>
      </c>
      <c r="C62" s="25">
        <v>49510000</v>
      </c>
      <c r="D62" s="25">
        <v>38</v>
      </c>
      <c r="E62" s="25">
        <v>45030024</v>
      </c>
      <c r="F62" s="25">
        <v>44</v>
      </c>
      <c r="G62" s="25">
        <v>54353540</v>
      </c>
      <c r="H62" s="25">
        <v>57492952</v>
      </c>
      <c r="I62" s="25">
        <v>5002525</v>
      </c>
      <c r="J62" s="39">
        <v>8.6999999999999994E-2</v>
      </c>
    </row>
    <row r="63" spans="1:10" ht="13.5" thickBot="1" x14ac:dyDescent="0.25">
      <c r="A63" s="37" t="s">
        <v>61</v>
      </c>
      <c r="B63" s="40">
        <v>5001</v>
      </c>
      <c r="C63" s="40">
        <v>1152062785</v>
      </c>
      <c r="D63" s="40">
        <v>5514</v>
      </c>
      <c r="E63" s="40">
        <v>914119114</v>
      </c>
      <c r="F63" s="40">
        <v>4386</v>
      </c>
      <c r="G63" s="40">
        <v>1574665736</v>
      </c>
      <c r="H63" s="40">
        <v>1437566043</v>
      </c>
      <c r="I63" s="40">
        <v>176447741</v>
      </c>
      <c r="J63" s="41">
        <v>0.12274061554193236</v>
      </c>
    </row>
  </sheetData>
  <phoneticPr fontId="2"/>
  <pageMargins left="0.7" right="0.7" top="0.75" bottom="0.75" header="0.3" footer="0.3"/>
  <pageSetup paperSize="9" scale="85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4B5BF-A36B-4FA2-84CF-FEE7E20D5FC2}">
  <sheetPr>
    <pageSetUpPr fitToPage="1"/>
  </sheetPr>
  <dimension ref="A1:J63"/>
  <sheetViews>
    <sheetView workbookViewId="0"/>
  </sheetViews>
  <sheetFormatPr defaultRowHeight="13" x14ac:dyDescent="0.2"/>
  <cols>
    <col min="1" max="1" width="15.81640625" style="33" customWidth="1"/>
    <col min="2" max="2" width="5.81640625" style="7" customWidth="1"/>
    <col min="3" max="3" width="13.453125" style="7" customWidth="1"/>
    <col min="4" max="4" width="5.7265625" style="7" customWidth="1"/>
    <col min="5" max="5" width="12.08984375" style="7" bestFit="1" customWidth="1"/>
    <col min="6" max="6" width="6.453125" style="7" customWidth="1"/>
    <col min="7" max="7" width="13.453125" style="7" customWidth="1"/>
    <col min="8" max="8" width="13.26953125" style="7" customWidth="1"/>
    <col min="9" max="9" width="11" style="7" bestFit="1" customWidth="1"/>
    <col min="10" max="10" width="6" style="8" customWidth="1"/>
  </cols>
  <sheetData>
    <row r="1" spans="1:10" x14ac:dyDescent="0.2">
      <c r="A1" s="33" t="s">
        <v>0</v>
      </c>
      <c r="B1" s="6" t="s">
        <v>156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>
        <v>194</v>
      </c>
      <c r="C5" s="24">
        <v>379353181</v>
      </c>
      <c r="D5" s="24">
        <v>59</v>
      </c>
      <c r="E5" s="24">
        <v>107368896</v>
      </c>
      <c r="F5" s="24">
        <v>340</v>
      </c>
      <c r="G5" s="24">
        <v>552400804</v>
      </c>
      <c r="H5" s="24">
        <v>407669084</v>
      </c>
      <c r="I5" s="24">
        <v>53071872</v>
      </c>
      <c r="J5" s="38">
        <v>0.13009999999999999</v>
      </c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194</v>
      </c>
      <c r="C17" s="25">
        <v>379353181</v>
      </c>
      <c r="D17" s="25">
        <v>59</v>
      </c>
      <c r="E17" s="25">
        <v>107368896</v>
      </c>
      <c r="F17" s="25">
        <v>340</v>
      </c>
      <c r="G17" s="25">
        <v>552400804</v>
      </c>
      <c r="H17" s="25">
        <v>407669084</v>
      </c>
      <c r="I17" s="25">
        <v>53071872</v>
      </c>
      <c r="J17" s="39">
        <v>0.13009999999999999</v>
      </c>
    </row>
    <row r="18" spans="1:10" x14ac:dyDescent="0.2">
      <c r="A18" s="35" t="s">
        <v>90</v>
      </c>
      <c r="B18" s="24">
        <v>2120</v>
      </c>
      <c r="C18" s="24">
        <v>140682085</v>
      </c>
      <c r="D18" s="24">
        <v>2117</v>
      </c>
      <c r="E18" s="24">
        <v>139217058</v>
      </c>
      <c r="F18" s="24">
        <v>856</v>
      </c>
      <c r="G18" s="24">
        <v>156015533</v>
      </c>
      <c r="H18" s="24">
        <v>154361505</v>
      </c>
      <c r="I18" s="24">
        <v>14197863</v>
      </c>
      <c r="J18" s="38">
        <v>9.1899999999999996E-2</v>
      </c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91</v>
      </c>
      <c r="C25" s="24">
        <v>140456006</v>
      </c>
      <c r="D25" s="24">
        <v>112</v>
      </c>
      <c r="E25" s="24">
        <v>165299379</v>
      </c>
      <c r="F25" s="24">
        <v>311</v>
      </c>
      <c r="G25" s="24">
        <v>299644292</v>
      </c>
      <c r="H25" s="24">
        <v>310548398</v>
      </c>
      <c r="I25" s="24">
        <v>25644700</v>
      </c>
      <c r="J25" s="38">
        <v>8.2500000000000004E-2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2211</v>
      </c>
      <c r="C31" s="25">
        <v>281138091</v>
      </c>
      <c r="D31" s="25">
        <v>2229</v>
      </c>
      <c r="E31" s="25">
        <v>304516437</v>
      </c>
      <c r="F31" s="25">
        <v>1167</v>
      </c>
      <c r="G31" s="25">
        <v>455659825</v>
      </c>
      <c r="H31" s="25">
        <v>464909903</v>
      </c>
      <c r="I31" s="25">
        <v>39842563</v>
      </c>
      <c r="J31" s="39">
        <v>8.72E-2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>
        <v>17</v>
      </c>
      <c r="C36" s="24">
        <v>113650000</v>
      </c>
      <c r="D36" s="24">
        <v>24</v>
      </c>
      <c r="E36" s="24">
        <v>64796377</v>
      </c>
      <c r="F36" s="24">
        <v>50</v>
      </c>
      <c r="G36" s="24">
        <v>202896428</v>
      </c>
      <c r="H36" s="24">
        <v>162869023</v>
      </c>
      <c r="I36" s="24">
        <v>21424658</v>
      </c>
      <c r="J36" s="38">
        <v>0.13150000000000001</v>
      </c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17</v>
      </c>
      <c r="C38" s="25">
        <v>113650000</v>
      </c>
      <c r="D38" s="25">
        <v>24</v>
      </c>
      <c r="E38" s="25">
        <v>64796377</v>
      </c>
      <c r="F38" s="25">
        <v>50</v>
      </c>
      <c r="G38" s="25">
        <v>202896428</v>
      </c>
      <c r="H38" s="25">
        <v>162869023</v>
      </c>
      <c r="I38" s="25">
        <v>21424658</v>
      </c>
      <c r="J38" s="39">
        <v>0.13150000000000001</v>
      </c>
    </row>
    <row r="39" spans="1:10" ht="24" x14ac:dyDescent="0.2">
      <c r="A39" s="35" t="s">
        <v>87</v>
      </c>
      <c r="B39" s="24">
        <v>181</v>
      </c>
      <c r="C39" s="24">
        <v>156744552</v>
      </c>
      <c r="D39" s="24">
        <v>180</v>
      </c>
      <c r="E39" s="24">
        <v>160517887</v>
      </c>
      <c r="F39" s="24">
        <v>351</v>
      </c>
      <c r="G39" s="24">
        <v>275044827</v>
      </c>
      <c r="H39" s="24">
        <v>267821734</v>
      </c>
      <c r="I39" s="24">
        <v>35045755</v>
      </c>
      <c r="J39" s="38">
        <v>0.1308</v>
      </c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181</v>
      </c>
      <c r="C47" s="25">
        <v>156744552</v>
      </c>
      <c r="D47" s="25">
        <v>180</v>
      </c>
      <c r="E47" s="25">
        <v>160517887</v>
      </c>
      <c r="F47" s="25">
        <v>351</v>
      </c>
      <c r="G47" s="25">
        <v>275044827</v>
      </c>
      <c r="H47" s="25">
        <v>267821734</v>
      </c>
      <c r="I47" s="25">
        <v>35045755</v>
      </c>
      <c r="J47" s="39">
        <v>0.1308</v>
      </c>
    </row>
    <row r="48" spans="1:10" x14ac:dyDescent="0.2">
      <c r="A48" s="35" t="s">
        <v>58</v>
      </c>
      <c r="B48" s="24">
        <v>63</v>
      </c>
      <c r="C48" s="24">
        <v>110265000</v>
      </c>
      <c r="D48" s="24">
        <v>71</v>
      </c>
      <c r="E48" s="24">
        <v>98754689</v>
      </c>
      <c r="F48" s="24">
        <v>253</v>
      </c>
      <c r="G48" s="24">
        <v>320410687</v>
      </c>
      <c r="H48" s="24">
        <v>317116664</v>
      </c>
      <c r="I48" s="24">
        <v>26565149</v>
      </c>
      <c r="J48" s="38">
        <v>8.3699999999999997E-2</v>
      </c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>
        <v>2509</v>
      </c>
      <c r="C50" s="24">
        <v>71416420</v>
      </c>
      <c r="D50" s="24">
        <v>2210</v>
      </c>
      <c r="E50" s="24">
        <v>68474960</v>
      </c>
      <c r="F50" s="24">
        <v>2572</v>
      </c>
      <c r="G50" s="24">
        <v>34609110</v>
      </c>
      <c r="H50" s="24">
        <v>31030010</v>
      </c>
      <c r="I50" s="24">
        <v>7127230</v>
      </c>
      <c r="J50" s="38">
        <v>0.2296</v>
      </c>
    </row>
    <row r="51" spans="1:10" x14ac:dyDescent="0.2">
      <c r="A51" s="35" t="s">
        <v>79</v>
      </c>
      <c r="B51" s="24">
        <v>2</v>
      </c>
      <c r="C51" s="24">
        <v>1100000</v>
      </c>
      <c r="D51" s="24">
        <v>4</v>
      </c>
      <c r="E51" s="24">
        <v>3196142</v>
      </c>
      <c r="F51" s="24">
        <v>9</v>
      </c>
      <c r="G51" s="24">
        <v>3980171</v>
      </c>
      <c r="H51" s="24">
        <v>4511051</v>
      </c>
      <c r="I51" s="24">
        <v>379670</v>
      </c>
      <c r="J51" s="38">
        <v>8.4099999999999994E-2</v>
      </c>
    </row>
    <row r="52" spans="1:10" x14ac:dyDescent="0.2">
      <c r="A52" s="36" t="s">
        <v>73</v>
      </c>
      <c r="B52" s="25">
        <v>2574</v>
      </c>
      <c r="C52" s="25">
        <v>182781420</v>
      </c>
      <c r="D52" s="25">
        <v>2285</v>
      </c>
      <c r="E52" s="25">
        <v>170425791</v>
      </c>
      <c r="F52" s="25">
        <v>2834</v>
      </c>
      <c r="G52" s="25">
        <v>358999968</v>
      </c>
      <c r="H52" s="25">
        <v>352657725</v>
      </c>
      <c r="I52" s="25">
        <v>34072049</v>
      </c>
      <c r="J52" s="39">
        <v>0.13246666666666668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>
        <v>32</v>
      </c>
      <c r="C61" s="24">
        <v>60550000</v>
      </c>
      <c r="D61" s="24">
        <v>29</v>
      </c>
      <c r="E61" s="24">
        <v>50937697</v>
      </c>
      <c r="F61" s="24">
        <v>47</v>
      </c>
      <c r="G61" s="24">
        <v>64465843</v>
      </c>
      <c r="H61" s="24">
        <v>59039518</v>
      </c>
      <c r="I61" s="24">
        <v>5644132</v>
      </c>
      <c r="J61" s="38">
        <v>9.5500000000000002E-2</v>
      </c>
    </row>
    <row r="62" spans="1:10" x14ac:dyDescent="0.2">
      <c r="A62" s="36" t="s">
        <v>73</v>
      </c>
      <c r="B62" s="25">
        <v>32</v>
      </c>
      <c r="C62" s="25">
        <v>60550000</v>
      </c>
      <c r="D62" s="25">
        <v>29</v>
      </c>
      <c r="E62" s="25">
        <v>50937697</v>
      </c>
      <c r="F62" s="25">
        <v>47</v>
      </c>
      <c r="G62" s="25">
        <v>64465843</v>
      </c>
      <c r="H62" s="25">
        <v>59039518</v>
      </c>
      <c r="I62" s="25">
        <v>5644132</v>
      </c>
      <c r="J62" s="39">
        <v>9.5500000000000002E-2</v>
      </c>
    </row>
    <row r="63" spans="1:10" ht="13.5" thickBot="1" x14ac:dyDescent="0.25">
      <c r="A63" s="37" t="s">
        <v>61</v>
      </c>
      <c r="B63" s="40">
        <v>5209</v>
      </c>
      <c r="C63" s="40">
        <v>1174217244</v>
      </c>
      <c r="D63" s="40">
        <v>4806</v>
      </c>
      <c r="E63" s="40">
        <v>858563085</v>
      </c>
      <c r="F63" s="40">
        <v>4789</v>
      </c>
      <c r="G63" s="40">
        <v>1909467695</v>
      </c>
      <c r="H63" s="40">
        <v>1714966987</v>
      </c>
      <c r="I63" s="40">
        <v>189101029</v>
      </c>
      <c r="J63" s="41">
        <v>0.11026511322576264</v>
      </c>
    </row>
  </sheetData>
  <phoneticPr fontId="2"/>
  <pageMargins left="0.7" right="0.7" top="0.75" bottom="0.75" header="0.3" footer="0.3"/>
  <pageSetup paperSize="9" scale="85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FCB09-9F63-4952-8246-23067AB039FC}">
  <sheetPr>
    <pageSetUpPr fitToPage="1"/>
  </sheetPr>
  <dimension ref="A1:J63"/>
  <sheetViews>
    <sheetView workbookViewId="0"/>
  </sheetViews>
  <sheetFormatPr defaultRowHeight="13" x14ac:dyDescent="0.2"/>
  <cols>
    <col min="1" max="1" width="15.81640625" style="33" customWidth="1"/>
    <col min="2" max="2" width="6.6328125" style="7" customWidth="1"/>
    <col min="3" max="3" width="14" style="7" customWidth="1"/>
    <col min="4" max="4" width="6" style="7" customWidth="1"/>
    <col min="5" max="5" width="13.08984375" style="7" customWidth="1"/>
    <col min="6" max="6" width="6.26953125" style="7" customWidth="1"/>
    <col min="7" max="7" width="12.90625" style="7" customWidth="1"/>
    <col min="8" max="8" width="13" style="7" customWidth="1"/>
    <col min="9" max="9" width="11.36328125" style="7" customWidth="1"/>
    <col min="10" max="10" width="6.36328125" style="8" customWidth="1"/>
  </cols>
  <sheetData>
    <row r="1" spans="1:10" x14ac:dyDescent="0.2">
      <c r="A1" s="33" t="s">
        <v>0</v>
      </c>
      <c r="B1" s="6" t="s">
        <v>157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>
        <v>330</v>
      </c>
      <c r="C5" s="24">
        <v>692888315</v>
      </c>
      <c r="D5" s="24">
        <v>122</v>
      </c>
      <c r="E5" s="24">
        <v>288008338</v>
      </c>
      <c r="F5" s="24">
        <v>548</v>
      </c>
      <c r="G5" s="24">
        <v>957280781</v>
      </c>
      <c r="H5" s="24">
        <v>766945249</v>
      </c>
      <c r="I5" s="24">
        <v>98609395</v>
      </c>
      <c r="J5" s="38">
        <v>0.12859999999999999</v>
      </c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330</v>
      </c>
      <c r="C17" s="25">
        <v>692888315</v>
      </c>
      <c r="D17" s="25">
        <v>122</v>
      </c>
      <c r="E17" s="25">
        <v>288008338</v>
      </c>
      <c r="F17" s="25">
        <v>548</v>
      </c>
      <c r="G17" s="25">
        <v>957280781</v>
      </c>
      <c r="H17" s="25">
        <v>766945249</v>
      </c>
      <c r="I17" s="25">
        <v>98609395</v>
      </c>
      <c r="J17" s="39">
        <v>0.12859999999999999</v>
      </c>
    </row>
    <row r="18" spans="1:10" x14ac:dyDescent="0.2">
      <c r="A18" s="35" t="s">
        <v>90</v>
      </c>
      <c r="B18" s="24">
        <v>1840</v>
      </c>
      <c r="C18" s="24">
        <v>110260052</v>
      </c>
      <c r="D18" s="24">
        <v>1873</v>
      </c>
      <c r="E18" s="24">
        <v>128027995</v>
      </c>
      <c r="F18" s="24">
        <v>823</v>
      </c>
      <c r="G18" s="24">
        <v>138247590</v>
      </c>
      <c r="H18" s="24">
        <v>149454101</v>
      </c>
      <c r="I18" s="24">
        <v>11915702</v>
      </c>
      <c r="J18" s="38">
        <v>7.9699999999999993E-2</v>
      </c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75</v>
      </c>
      <c r="C25" s="24">
        <v>83411286</v>
      </c>
      <c r="D25" s="24">
        <v>132</v>
      </c>
      <c r="E25" s="24">
        <v>149725175</v>
      </c>
      <c r="F25" s="24">
        <v>254</v>
      </c>
      <c r="G25" s="24">
        <v>233330403</v>
      </c>
      <c r="H25" s="24">
        <v>276298283</v>
      </c>
      <c r="I25" s="24">
        <v>18630412</v>
      </c>
      <c r="J25" s="38">
        <v>6.7400000000000002E-2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1915</v>
      </c>
      <c r="C31" s="25">
        <v>193671338</v>
      </c>
      <c r="D31" s="25">
        <v>2005</v>
      </c>
      <c r="E31" s="25">
        <v>277753170</v>
      </c>
      <c r="F31" s="25">
        <v>1077</v>
      </c>
      <c r="G31" s="25">
        <v>371577993</v>
      </c>
      <c r="H31" s="25">
        <v>425752384</v>
      </c>
      <c r="I31" s="25">
        <v>30546114</v>
      </c>
      <c r="J31" s="39">
        <v>7.3550000000000004E-2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>
        <v>30</v>
      </c>
      <c r="C36" s="24">
        <v>296043370</v>
      </c>
      <c r="D36" s="24">
        <v>25</v>
      </c>
      <c r="E36" s="24">
        <v>189725785</v>
      </c>
      <c r="F36" s="24">
        <v>55</v>
      </c>
      <c r="G36" s="24">
        <v>309214013</v>
      </c>
      <c r="H36" s="24">
        <v>238327529</v>
      </c>
      <c r="I36" s="24">
        <v>29620273</v>
      </c>
      <c r="J36" s="38">
        <v>0.12429999999999999</v>
      </c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30</v>
      </c>
      <c r="C38" s="25">
        <v>296043370</v>
      </c>
      <c r="D38" s="25">
        <v>25</v>
      </c>
      <c r="E38" s="25">
        <v>189725785</v>
      </c>
      <c r="F38" s="25">
        <v>55</v>
      </c>
      <c r="G38" s="25">
        <v>309214013</v>
      </c>
      <c r="H38" s="25">
        <v>238327529</v>
      </c>
      <c r="I38" s="25">
        <v>29620273</v>
      </c>
      <c r="J38" s="39">
        <v>0.12429999999999999</v>
      </c>
    </row>
    <row r="39" spans="1:10" ht="24" x14ac:dyDescent="0.2">
      <c r="A39" s="35" t="s">
        <v>87</v>
      </c>
      <c r="B39" s="24">
        <v>119</v>
      </c>
      <c r="C39" s="24">
        <v>96554050</v>
      </c>
      <c r="D39" s="24">
        <v>171</v>
      </c>
      <c r="E39" s="24">
        <v>142351192</v>
      </c>
      <c r="F39" s="24">
        <v>299</v>
      </c>
      <c r="G39" s="24">
        <v>229247685</v>
      </c>
      <c r="H39" s="24">
        <v>254121394</v>
      </c>
      <c r="I39" s="24">
        <v>32719957</v>
      </c>
      <c r="J39" s="38">
        <v>0.1288</v>
      </c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119</v>
      </c>
      <c r="C47" s="25">
        <v>96554050</v>
      </c>
      <c r="D47" s="25">
        <v>171</v>
      </c>
      <c r="E47" s="25">
        <v>142351192</v>
      </c>
      <c r="F47" s="25">
        <v>299</v>
      </c>
      <c r="G47" s="25">
        <v>229247685</v>
      </c>
      <c r="H47" s="25">
        <v>254121394</v>
      </c>
      <c r="I47" s="25">
        <v>32719957</v>
      </c>
      <c r="J47" s="39">
        <v>0.1288</v>
      </c>
    </row>
    <row r="48" spans="1:10" x14ac:dyDescent="0.2">
      <c r="A48" s="35" t="s">
        <v>58</v>
      </c>
      <c r="B48" s="24">
        <v>54</v>
      </c>
      <c r="C48" s="24">
        <v>89070000</v>
      </c>
      <c r="D48" s="24">
        <v>77</v>
      </c>
      <c r="E48" s="24">
        <v>123276942</v>
      </c>
      <c r="F48" s="24">
        <v>230</v>
      </c>
      <c r="G48" s="24">
        <v>286203745</v>
      </c>
      <c r="H48" s="24">
        <v>303244579</v>
      </c>
      <c r="I48" s="24">
        <v>25276384</v>
      </c>
      <c r="J48" s="38">
        <v>8.3400000000000002E-2</v>
      </c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>
        <v>2506</v>
      </c>
      <c r="C50" s="24">
        <v>71569830</v>
      </c>
      <c r="D50" s="24">
        <v>2792</v>
      </c>
      <c r="E50" s="24">
        <v>72291360</v>
      </c>
      <c r="F50" s="24">
        <v>2286</v>
      </c>
      <c r="G50" s="24">
        <v>33887580</v>
      </c>
      <c r="H50" s="24">
        <v>31692158</v>
      </c>
      <c r="I50" s="24">
        <v>6949440</v>
      </c>
      <c r="J50" s="38">
        <v>0.21929999999999999</v>
      </c>
    </row>
    <row r="51" spans="1:10" x14ac:dyDescent="0.2">
      <c r="A51" s="35" t="s">
        <v>79</v>
      </c>
      <c r="B51" s="24">
        <v>2</v>
      </c>
      <c r="C51" s="24">
        <v>776614</v>
      </c>
      <c r="D51" s="24">
        <v>7</v>
      </c>
      <c r="E51" s="24">
        <v>2664556</v>
      </c>
      <c r="F51" s="24">
        <v>4</v>
      </c>
      <c r="G51" s="24">
        <v>2092229</v>
      </c>
      <c r="H51" s="24">
        <v>2937317</v>
      </c>
      <c r="I51" s="24">
        <v>193488</v>
      </c>
      <c r="J51" s="38">
        <v>6.59E-2</v>
      </c>
    </row>
    <row r="52" spans="1:10" x14ac:dyDescent="0.2">
      <c r="A52" s="36" t="s">
        <v>73</v>
      </c>
      <c r="B52" s="25">
        <v>2562</v>
      </c>
      <c r="C52" s="25">
        <v>161416444</v>
      </c>
      <c r="D52" s="25">
        <v>2876</v>
      </c>
      <c r="E52" s="25">
        <v>198232858</v>
      </c>
      <c r="F52" s="25">
        <v>2520</v>
      </c>
      <c r="G52" s="25">
        <v>322183554</v>
      </c>
      <c r="H52" s="25">
        <v>337874054</v>
      </c>
      <c r="I52" s="25">
        <v>32419312</v>
      </c>
      <c r="J52" s="39">
        <v>0.12286666666666667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>
        <v>26</v>
      </c>
      <c r="C61" s="24">
        <v>28344387</v>
      </c>
      <c r="D61" s="24">
        <v>32</v>
      </c>
      <c r="E61" s="24">
        <v>48453349</v>
      </c>
      <c r="F61" s="24">
        <v>41</v>
      </c>
      <c r="G61" s="24">
        <v>44356881</v>
      </c>
      <c r="H61" s="24">
        <v>54668103</v>
      </c>
      <c r="I61" s="24">
        <v>4562482</v>
      </c>
      <c r="J61" s="38">
        <v>8.3500000000000005E-2</v>
      </c>
    </row>
    <row r="62" spans="1:10" x14ac:dyDescent="0.2">
      <c r="A62" s="36" t="s">
        <v>73</v>
      </c>
      <c r="B62" s="25">
        <v>26</v>
      </c>
      <c r="C62" s="25">
        <v>28344387</v>
      </c>
      <c r="D62" s="25">
        <v>32</v>
      </c>
      <c r="E62" s="25">
        <v>48453349</v>
      </c>
      <c r="F62" s="25">
        <v>41</v>
      </c>
      <c r="G62" s="25">
        <v>44356881</v>
      </c>
      <c r="H62" s="25">
        <v>54668103</v>
      </c>
      <c r="I62" s="25">
        <v>4562482</v>
      </c>
      <c r="J62" s="39">
        <v>8.3500000000000005E-2</v>
      </c>
    </row>
    <row r="63" spans="1:10" ht="13.5" thickBot="1" x14ac:dyDescent="0.25">
      <c r="A63" s="37" t="s">
        <v>61</v>
      </c>
      <c r="B63" s="40">
        <v>4982</v>
      </c>
      <c r="C63" s="40">
        <v>1468917904</v>
      </c>
      <c r="D63" s="40">
        <v>5231</v>
      </c>
      <c r="E63" s="40">
        <v>1144524692</v>
      </c>
      <c r="F63" s="40">
        <v>4540</v>
      </c>
      <c r="G63" s="40">
        <v>2233860907</v>
      </c>
      <c r="H63" s="40">
        <v>2077688713</v>
      </c>
      <c r="I63" s="40">
        <v>228477533</v>
      </c>
      <c r="J63" s="41">
        <v>0.10996716282397208</v>
      </c>
    </row>
  </sheetData>
  <phoneticPr fontId="2"/>
  <pageMargins left="0.7" right="0.7" top="0.75" bottom="0.75" header="0.3" footer="0.3"/>
  <pageSetup paperSize="9" scale="84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3929A-D2B7-42F5-A87B-E177B897FA7C}">
  <sheetPr>
    <pageSetUpPr fitToPage="1"/>
  </sheetPr>
  <dimension ref="A1:J63"/>
  <sheetViews>
    <sheetView workbookViewId="0"/>
  </sheetViews>
  <sheetFormatPr defaultRowHeight="13" x14ac:dyDescent="0.2"/>
  <cols>
    <col min="1" max="1" width="15.81640625" style="33" customWidth="1"/>
    <col min="2" max="2" width="5.81640625" style="7" customWidth="1"/>
    <col min="3" max="3" width="13.26953125" style="7" customWidth="1"/>
    <col min="4" max="4" width="5.54296875" style="7" customWidth="1"/>
    <col min="5" max="5" width="13.6328125" style="7" customWidth="1"/>
    <col min="6" max="6" width="5.7265625" style="7" customWidth="1"/>
    <col min="7" max="7" width="12.36328125" style="7" customWidth="1"/>
    <col min="8" max="8" width="12.6328125" style="7" customWidth="1"/>
    <col min="9" max="9" width="10.90625" style="7" customWidth="1"/>
    <col min="10" max="10" width="6.81640625" style="8" customWidth="1"/>
  </cols>
  <sheetData>
    <row r="1" spans="1:10" x14ac:dyDescent="0.2">
      <c r="A1" s="33" t="s">
        <v>0</v>
      </c>
      <c r="B1" s="6" t="s">
        <v>158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>
        <v>305</v>
      </c>
      <c r="C5" s="24">
        <v>609741094</v>
      </c>
      <c r="D5" s="24">
        <v>146</v>
      </c>
      <c r="E5" s="24">
        <v>291379633</v>
      </c>
      <c r="F5" s="24">
        <v>707</v>
      </c>
      <c r="G5" s="24">
        <v>1275642242</v>
      </c>
      <c r="H5" s="24">
        <v>1111295846</v>
      </c>
      <c r="I5" s="24">
        <v>141979414</v>
      </c>
      <c r="J5" s="38">
        <v>0.1278</v>
      </c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305</v>
      </c>
      <c r="C17" s="25">
        <v>609741094</v>
      </c>
      <c r="D17" s="25">
        <v>146</v>
      </c>
      <c r="E17" s="25">
        <v>291379633</v>
      </c>
      <c r="F17" s="25">
        <v>707</v>
      </c>
      <c r="G17" s="25">
        <v>1275642242</v>
      </c>
      <c r="H17" s="25">
        <v>1111295846</v>
      </c>
      <c r="I17" s="25">
        <v>141979414</v>
      </c>
      <c r="J17" s="39">
        <v>0.1278</v>
      </c>
    </row>
    <row r="18" spans="1:10" x14ac:dyDescent="0.2">
      <c r="A18" s="35" t="s">
        <v>90</v>
      </c>
      <c r="B18" s="24">
        <v>1588</v>
      </c>
      <c r="C18" s="24">
        <v>72656996</v>
      </c>
      <c r="D18" s="24">
        <v>1222</v>
      </c>
      <c r="E18" s="24">
        <v>104083057</v>
      </c>
      <c r="F18" s="24">
        <v>1189</v>
      </c>
      <c r="G18" s="24">
        <v>106821529</v>
      </c>
      <c r="H18" s="24">
        <v>118623463</v>
      </c>
      <c r="I18" s="24">
        <v>9781002</v>
      </c>
      <c r="J18" s="38">
        <v>8.2500000000000004E-2</v>
      </c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24</v>
      </c>
      <c r="C25" s="24">
        <v>32143243</v>
      </c>
      <c r="D25" s="24">
        <v>98</v>
      </c>
      <c r="E25" s="24">
        <v>113526309</v>
      </c>
      <c r="F25" s="24">
        <v>180</v>
      </c>
      <c r="G25" s="24">
        <v>151947337</v>
      </c>
      <c r="H25" s="24">
        <v>191507929</v>
      </c>
      <c r="I25" s="24">
        <v>12431504</v>
      </c>
      <c r="J25" s="38">
        <v>6.4899999999999999E-2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1612</v>
      </c>
      <c r="C31" s="25">
        <v>104800239</v>
      </c>
      <c r="D31" s="25">
        <v>1320</v>
      </c>
      <c r="E31" s="25">
        <v>217609366</v>
      </c>
      <c r="F31" s="25">
        <v>1369</v>
      </c>
      <c r="G31" s="25">
        <v>258768866</v>
      </c>
      <c r="H31" s="25">
        <v>310131392</v>
      </c>
      <c r="I31" s="25">
        <v>22212506</v>
      </c>
      <c r="J31" s="39">
        <v>7.3700000000000002E-2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>
        <v>60</v>
      </c>
      <c r="C36" s="24">
        <v>532407330</v>
      </c>
      <c r="D36" s="24">
        <v>42</v>
      </c>
      <c r="E36" s="24">
        <v>353746672</v>
      </c>
      <c r="F36" s="24">
        <v>73</v>
      </c>
      <c r="G36" s="24">
        <v>487874671</v>
      </c>
      <c r="H36" s="24">
        <v>353729924</v>
      </c>
      <c r="I36" s="24">
        <v>46006138</v>
      </c>
      <c r="J36" s="38">
        <v>0.13009999999999999</v>
      </c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60</v>
      </c>
      <c r="C38" s="25">
        <v>532407330</v>
      </c>
      <c r="D38" s="25">
        <v>42</v>
      </c>
      <c r="E38" s="25">
        <v>353746672</v>
      </c>
      <c r="F38" s="25">
        <v>73</v>
      </c>
      <c r="G38" s="25">
        <v>487874671</v>
      </c>
      <c r="H38" s="25">
        <v>353729924</v>
      </c>
      <c r="I38" s="25">
        <v>46006138</v>
      </c>
      <c r="J38" s="39">
        <v>0.13009999999999999</v>
      </c>
    </row>
    <row r="39" spans="1:10" ht="24" x14ac:dyDescent="0.2">
      <c r="A39" s="35" t="s">
        <v>87</v>
      </c>
      <c r="B39" s="24">
        <v>79</v>
      </c>
      <c r="C39" s="24">
        <v>60715238</v>
      </c>
      <c r="D39" s="24">
        <v>136</v>
      </c>
      <c r="E39" s="24">
        <v>112951336</v>
      </c>
      <c r="F39" s="24">
        <v>242</v>
      </c>
      <c r="G39" s="24">
        <v>177011587</v>
      </c>
      <c r="H39" s="24">
        <v>197988457</v>
      </c>
      <c r="I39" s="24">
        <v>26866741</v>
      </c>
      <c r="J39" s="38">
        <v>0.13569999999999999</v>
      </c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79</v>
      </c>
      <c r="C47" s="25">
        <v>60715238</v>
      </c>
      <c r="D47" s="25">
        <v>136</v>
      </c>
      <c r="E47" s="25">
        <v>112951336</v>
      </c>
      <c r="F47" s="25">
        <v>242</v>
      </c>
      <c r="G47" s="25">
        <v>177011587</v>
      </c>
      <c r="H47" s="25">
        <v>197988457</v>
      </c>
      <c r="I47" s="25">
        <v>26866741</v>
      </c>
      <c r="J47" s="39">
        <v>0.13569999999999999</v>
      </c>
    </row>
    <row r="48" spans="1:10" x14ac:dyDescent="0.2">
      <c r="A48" s="35" t="s">
        <v>58</v>
      </c>
      <c r="B48" s="24">
        <v>34</v>
      </c>
      <c r="C48" s="24">
        <v>87910000</v>
      </c>
      <c r="D48" s="24">
        <v>67</v>
      </c>
      <c r="E48" s="24">
        <v>96592229</v>
      </c>
      <c r="F48" s="24">
        <v>197</v>
      </c>
      <c r="G48" s="24">
        <v>277521516</v>
      </c>
      <c r="H48" s="24">
        <v>278813673</v>
      </c>
      <c r="I48" s="24">
        <v>22086393</v>
      </c>
      <c r="J48" s="38">
        <v>7.9200000000000007E-2</v>
      </c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>
        <v>2530</v>
      </c>
      <c r="C50" s="24">
        <v>79224420</v>
      </c>
      <c r="D50" s="24">
        <v>2344</v>
      </c>
      <c r="E50" s="24">
        <v>73727490</v>
      </c>
      <c r="F50" s="24">
        <v>2472</v>
      </c>
      <c r="G50" s="24">
        <v>39384510</v>
      </c>
      <c r="H50" s="24">
        <v>33041691</v>
      </c>
      <c r="I50" s="24">
        <v>5330450</v>
      </c>
      <c r="J50" s="38">
        <v>0.1613</v>
      </c>
    </row>
    <row r="51" spans="1:10" x14ac:dyDescent="0.2">
      <c r="A51" s="35" t="s">
        <v>79</v>
      </c>
      <c r="B51" s="24">
        <v>1</v>
      </c>
      <c r="C51" s="24">
        <v>100000</v>
      </c>
      <c r="D51" s="24">
        <v>2</v>
      </c>
      <c r="E51" s="24">
        <v>1163813</v>
      </c>
      <c r="F51" s="24">
        <v>3</v>
      </c>
      <c r="G51" s="24">
        <v>1028416</v>
      </c>
      <c r="H51" s="24">
        <v>1630728</v>
      </c>
      <c r="I51" s="24">
        <v>123597</v>
      </c>
      <c r="J51" s="38">
        <v>7.5800000000000006E-2</v>
      </c>
    </row>
    <row r="52" spans="1:10" x14ac:dyDescent="0.2">
      <c r="A52" s="36" t="s">
        <v>73</v>
      </c>
      <c r="B52" s="25">
        <v>2565</v>
      </c>
      <c r="C52" s="25">
        <v>167234420</v>
      </c>
      <c r="D52" s="25">
        <v>2413</v>
      </c>
      <c r="E52" s="25">
        <v>171483532</v>
      </c>
      <c r="F52" s="25">
        <v>2672</v>
      </c>
      <c r="G52" s="25">
        <v>317934442</v>
      </c>
      <c r="H52" s="25">
        <v>313486092</v>
      </c>
      <c r="I52" s="25">
        <v>27540440</v>
      </c>
      <c r="J52" s="39">
        <v>0.10543333333333334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>
        <v>33</v>
      </c>
      <c r="C61" s="24">
        <v>93472574</v>
      </c>
      <c r="D61" s="24">
        <v>36</v>
      </c>
      <c r="E61" s="24">
        <v>90433175</v>
      </c>
      <c r="F61" s="24">
        <v>38</v>
      </c>
      <c r="G61" s="24">
        <v>47396280</v>
      </c>
      <c r="H61" s="24">
        <v>49485382</v>
      </c>
      <c r="I61" s="24">
        <v>3772705</v>
      </c>
      <c r="J61" s="38">
        <v>7.6200000000000004E-2</v>
      </c>
    </row>
    <row r="62" spans="1:10" x14ac:dyDescent="0.2">
      <c r="A62" s="36" t="s">
        <v>73</v>
      </c>
      <c r="B62" s="25">
        <v>33</v>
      </c>
      <c r="C62" s="25">
        <v>93472574</v>
      </c>
      <c r="D62" s="25">
        <v>36</v>
      </c>
      <c r="E62" s="25">
        <v>90433175</v>
      </c>
      <c r="F62" s="25">
        <v>38</v>
      </c>
      <c r="G62" s="25">
        <v>47396280</v>
      </c>
      <c r="H62" s="25">
        <v>49485382</v>
      </c>
      <c r="I62" s="25">
        <v>3772705</v>
      </c>
      <c r="J62" s="39">
        <v>7.6200000000000004E-2</v>
      </c>
    </row>
    <row r="63" spans="1:10" ht="13.5" thickBot="1" x14ac:dyDescent="0.25">
      <c r="A63" s="37" t="s">
        <v>61</v>
      </c>
      <c r="B63" s="40">
        <v>4654</v>
      </c>
      <c r="C63" s="40">
        <v>1568370895</v>
      </c>
      <c r="D63" s="40">
        <v>4093</v>
      </c>
      <c r="E63" s="40">
        <v>1237603714</v>
      </c>
      <c r="F63" s="40">
        <v>5101</v>
      </c>
      <c r="G63" s="40">
        <v>2564628088</v>
      </c>
      <c r="H63" s="40">
        <v>2336117093</v>
      </c>
      <c r="I63" s="40">
        <v>268377944</v>
      </c>
      <c r="J63" s="41">
        <v>0.11488205998071518</v>
      </c>
    </row>
  </sheetData>
  <phoneticPr fontId="2"/>
  <pageMargins left="0.7" right="0.7" top="0.75" bottom="0.75" header="0.3" footer="0.3"/>
  <pageSetup paperSize="9" scale="87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38BE6-3FA1-4700-8853-21FF0EC16827}">
  <sheetPr>
    <pageSetUpPr fitToPage="1"/>
  </sheetPr>
  <dimension ref="A1:J63"/>
  <sheetViews>
    <sheetView workbookViewId="0"/>
  </sheetViews>
  <sheetFormatPr defaultRowHeight="13" x14ac:dyDescent="0.2"/>
  <cols>
    <col min="1" max="1" width="15.81640625" style="33" customWidth="1"/>
    <col min="2" max="2" width="5.36328125" style="7" customWidth="1"/>
    <col min="3" max="3" width="13.36328125" style="7" customWidth="1"/>
    <col min="4" max="4" width="5.54296875" style="7" customWidth="1"/>
    <col min="5" max="5" width="14" style="7" customWidth="1"/>
    <col min="6" max="6" width="5.90625" style="7" customWidth="1"/>
    <col min="7" max="7" width="13.6328125" style="7" bestFit="1" customWidth="1"/>
    <col min="8" max="8" width="11.54296875" style="7" customWidth="1"/>
    <col min="9" max="9" width="10.7265625" style="7" customWidth="1"/>
    <col min="10" max="10" width="6.81640625" style="8" customWidth="1"/>
  </cols>
  <sheetData>
    <row r="1" spans="1:10" x14ac:dyDescent="0.2">
      <c r="A1" s="33" t="s">
        <v>0</v>
      </c>
      <c r="B1" s="6" t="s">
        <v>159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>
        <v>280</v>
      </c>
      <c r="C5" s="24">
        <v>699384867</v>
      </c>
      <c r="D5" s="24">
        <v>121</v>
      </c>
      <c r="E5" s="24">
        <v>383696160</v>
      </c>
      <c r="F5" s="24">
        <v>866</v>
      </c>
      <c r="G5" s="24">
        <v>1591330949</v>
      </c>
      <c r="H5" s="24">
        <v>1420632653</v>
      </c>
      <c r="I5" s="24">
        <v>172471445</v>
      </c>
      <c r="J5" s="38">
        <v>0.12139999999999999</v>
      </c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280</v>
      </c>
      <c r="C17" s="25">
        <v>699384867</v>
      </c>
      <c r="D17" s="25">
        <v>121</v>
      </c>
      <c r="E17" s="25">
        <v>383696160</v>
      </c>
      <c r="F17" s="25">
        <v>866</v>
      </c>
      <c r="G17" s="25">
        <v>1591330949</v>
      </c>
      <c r="H17" s="25">
        <v>1420632653</v>
      </c>
      <c r="I17" s="25">
        <v>172471445</v>
      </c>
      <c r="J17" s="39">
        <v>0.12139999999999999</v>
      </c>
    </row>
    <row r="18" spans="1:10" x14ac:dyDescent="0.2">
      <c r="A18" s="35" t="s">
        <v>90</v>
      </c>
      <c r="B18" s="24">
        <v>1356</v>
      </c>
      <c r="C18" s="24">
        <v>71975832</v>
      </c>
      <c r="D18" s="24">
        <v>2002</v>
      </c>
      <c r="E18" s="24">
        <v>81002796</v>
      </c>
      <c r="F18" s="24">
        <v>543</v>
      </c>
      <c r="G18" s="24">
        <v>97794565</v>
      </c>
      <c r="H18" s="24">
        <v>99931141</v>
      </c>
      <c r="I18" s="24">
        <v>10598578</v>
      </c>
      <c r="J18" s="38">
        <v>0.1061</v>
      </c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23</v>
      </c>
      <c r="C25" s="24">
        <v>23550254</v>
      </c>
      <c r="D25" s="24">
        <v>78</v>
      </c>
      <c r="E25" s="24">
        <v>78247647</v>
      </c>
      <c r="F25" s="24">
        <v>125</v>
      </c>
      <c r="G25" s="24">
        <v>97249944</v>
      </c>
      <c r="H25" s="24">
        <v>122245225</v>
      </c>
      <c r="I25" s="24">
        <v>11666965</v>
      </c>
      <c r="J25" s="38">
        <v>9.5399999999999999E-2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1379</v>
      </c>
      <c r="C31" s="25">
        <v>95526086</v>
      </c>
      <c r="D31" s="25">
        <v>2080</v>
      </c>
      <c r="E31" s="25">
        <v>159250443</v>
      </c>
      <c r="F31" s="25">
        <v>668</v>
      </c>
      <c r="G31" s="25">
        <v>195044509</v>
      </c>
      <c r="H31" s="25">
        <v>222176366</v>
      </c>
      <c r="I31" s="25">
        <v>22265543</v>
      </c>
      <c r="J31" s="39">
        <v>0.10075000000000001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>
        <v>61</v>
      </c>
      <c r="C36" s="24">
        <v>549659173</v>
      </c>
      <c r="D36" s="24">
        <v>44</v>
      </c>
      <c r="E36" s="24">
        <v>432846430</v>
      </c>
      <c r="F36" s="24">
        <v>90</v>
      </c>
      <c r="G36" s="24">
        <v>604687414</v>
      </c>
      <c r="H36" s="24">
        <v>474143378</v>
      </c>
      <c r="I36" s="24">
        <v>63233396</v>
      </c>
      <c r="J36" s="38">
        <v>0.13339999999999999</v>
      </c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61</v>
      </c>
      <c r="C38" s="25">
        <v>549659173</v>
      </c>
      <c r="D38" s="25">
        <v>44</v>
      </c>
      <c r="E38" s="25">
        <v>432846430</v>
      </c>
      <c r="F38" s="25">
        <v>90</v>
      </c>
      <c r="G38" s="25">
        <v>604687414</v>
      </c>
      <c r="H38" s="25">
        <v>474143378</v>
      </c>
      <c r="I38" s="25">
        <v>63233396</v>
      </c>
      <c r="J38" s="39">
        <v>0.13339999999999999</v>
      </c>
    </row>
    <row r="39" spans="1:10" ht="24" x14ac:dyDescent="0.2">
      <c r="A39" s="35" t="s">
        <v>87</v>
      </c>
      <c r="B39" s="24">
        <v>100</v>
      </c>
      <c r="C39" s="24">
        <v>103161576</v>
      </c>
      <c r="D39" s="24">
        <v>114</v>
      </c>
      <c r="E39" s="24">
        <v>110738899</v>
      </c>
      <c r="F39" s="24">
        <v>228</v>
      </c>
      <c r="G39" s="24">
        <v>169434264</v>
      </c>
      <c r="H39" s="24">
        <v>161528361</v>
      </c>
      <c r="I39" s="24">
        <v>20621710</v>
      </c>
      <c r="J39" s="38">
        <v>0.12770000000000001</v>
      </c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100</v>
      </c>
      <c r="C47" s="25">
        <v>103161576</v>
      </c>
      <c r="D47" s="25">
        <v>114</v>
      </c>
      <c r="E47" s="25">
        <v>110738899</v>
      </c>
      <c r="F47" s="25">
        <v>228</v>
      </c>
      <c r="G47" s="25">
        <v>169434264</v>
      </c>
      <c r="H47" s="25">
        <v>161528361</v>
      </c>
      <c r="I47" s="25">
        <v>20621710</v>
      </c>
      <c r="J47" s="39">
        <v>0.12770000000000001</v>
      </c>
    </row>
    <row r="48" spans="1:10" x14ac:dyDescent="0.2">
      <c r="A48" s="35" t="s">
        <v>58</v>
      </c>
      <c r="B48" s="24">
        <v>35</v>
      </c>
      <c r="C48" s="24">
        <v>64320000</v>
      </c>
      <c r="D48" s="24">
        <v>53</v>
      </c>
      <c r="E48" s="24">
        <v>100623486</v>
      </c>
      <c r="F48" s="24">
        <v>179</v>
      </c>
      <c r="G48" s="24">
        <v>241218030</v>
      </c>
      <c r="H48" s="24">
        <v>264124753</v>
      </c>
      <c r="I48" s="24">
        <v>20212171</v>
      </c>
      <c r="J48" s="38">
        <v>7.6499999999999999E-2</v>
      </c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>
        <v>2578</v>
      </c>
      <c r="C50" s="24">
        <v>84254990</v>
      </c>
      <c r="D50" s="24">
        <v>2602</v>
      </c>
      <c r="E50" s="24">
        <v>84266560</v>
      </c>
      <c r="F50" s="24">
        <v>2448</v>
      </c>
      <c r="G50" s="24">
        <v>39372940</v>
      </c>
      <c r="H50" s="24">
        <v>38063742</v>
      </c>
      <c r="I50" s="24">
        <v>4071573</v>
      </c>
      <c r="J50" s="38">
        <v>0.107</v>
      </c>
    </row>
    <row r="51" spans="1:10" x14ac:dyDescent="0.2">
      <c r="A51" s="35" t="s">
        <v>79</v>
      </c>
      <c r="B51" s="24">
        <v>3</v>
      </c>
      <c r="C51" s="24">
        <v>2800000</v>
      </c>
      <c r="D51" s="24">
        <v>2</v>
      </c>
      <c r="E51" s="24">
        <v>1129058</v>
      </c>
      <c r="F51" s="24">
        <v>4</v>
      </c>
      <c r="G51" s="24">
        <v>2699358</v>
      </c>
      <c r="H51" s="24">
        <v>1583606</v>
      </c>
      <c r="I51" s="24">
        <v>100821</v>
      </c>
      <c r="J51" s="38">
        <v>6.3700000000000007E-2</v>
      </c>
    </row>
    <row r="52" spans="1:10" x14ac:dyDescent="0.2">
      <c r="A52" s="36" t="s">
        <v>73</v>
      </c>
      <c r="B52" s="25">
        <v>2616</v>
      </c>
      <c r="C52" s="25">
        <v>151374990</v>
      </c>
      <c r="D52" s="25">
        <v>2657</v>
      </c>
      <c r="E52" s="25">
        <v>186019104</v>
      </c>
      <c r="F52" s="25">
        <v>2631</v>
      </c>
      <c r="G52" s="25">
        <v>283290328</v>
      </c>
      <c r="H52" s="25">
        <v>303772101</v>
      </c>
      <c r="I52" s="25">
        <v>24384565</v>
      </c>
      <c r="J52" s="39">
        <v>8.2400000000000001E-2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>
        <v>20</v>
      </c>
      <c r="C61" s="24">
        <v>86300000</v>
      </c>
      <c r="D61" s="24">
        <v>24</v>
      </c>
      <c r="E61" s="24">
        <v>44762962</v>
      </c>
      <c r="F61" s="24">
        <v>34</v>
      </c>
      <c r="G61" s="24">
        <v>88933318</v>
      </c>
      <c r="H61" s="24">
        <v>56350607</v>
      </c>
      <c r="I61" s="24">
        <v>3497236</v>
      </c>
      <c r="J61" s="38">
        <v>6.2100000000000002E-2</v>
      </c>
    </row>
    <row r="62" spans="1:10" x14ac:dyDescent="0.2">
      <c r="A62" s="36" t="s">
        <v>73</v>
      </c>
      <c r="B62" s="25">
        <v>20</v>
      </c>
      <c r="C62" s="25">
        <v>86300000</v>
      </c>
      <c r="D62" s="25">
        <v>24</v>
      </c>
      <c r="E62" s="25">
        <v>44762962</v>
      </c>
      <c r="F62" s="25">
        <v>34</v>
      </c>
      <c r="G62" s="25">
        <v>88933318</v>
      </c>
      <c r="H62" s="25">
        <v>56350607</v>
      </c>
      <c r="I62" s="25">
        <v>3497236</v>
      </c>
      <c r="J62" s="39">
        <v>6.2100000000000002E-2</v>
      </c>
    </row>
    <row r="63" spans="1:10" ht="13.5" thickBot="1" x14ac:dyDescent="0.25">
      <c r="A63" s="37" t="s">
        <v>61</v>
      </c>
      <c r="B63" s="40">
        <v>4456</v>
      </c>
      <c r="C63" s="40">
        <v>1685406692</v>
      </c>
      <c r="D63" s="40">
        <v>5040</v>
      </c>
      <c r="E63" s="40">
        <v>1317313998</v>
      </c>
      <c r="F63" s="40">
        <v>4517</v>
      </c>
      <c r="G63" s="40">
        <v>2932720782</v>
      </c>
      <c r="H63" s="40">
        <v>2638603466</v>
      </c>
      <c r="I63" s="40">
        <v>306473895</v>
      </c>
      <c r="J63" s="41">
        <v>0.11615003881754167</v>
      </c>
    </row>
  </sheetData>
  <phoneticPr fontId="2"/>
  <pageMargins left="0.7" right="0.7" top="0.75" bottom="0.75" header="0.3" footer="0.3"/>
  <pageSetup paperSize="9" scale="87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64C4D-9AF7-48F5-9848-E7C5F493CE00}">
  <sheetPr>
    <pageSetUpPr fitToPage="1"/>
  </sheetPr>
  <dimension ref="A1:J63"/>
  <sheetViews>
    <sheetView workbookViewId="0"/>
  </sheetViews>
  <sheetFormatPr defaultRowHeight="13" x14ac:dyDescent="0.2"/>
  <cols>
    <col min="1" max="1" width="15.81640625" style="33" customWidth="1"/>
    <col min="2" max="2" width="5.81640625" style="7" customWidth="1"/>
    <col min="3" max="3" width="12" style="7" customWidth="1"/>
    <col min="4" max="4" width="5.81640625" style="7" customWidth="1"/>
    <col min="5" max="5" width="12" style="7" customWidth="1"/>
    <col min="6" max="6" width="6.26953125" style="7" customWidth="1"/>
    <col min="7" max="7" width="12.36328125" style="7" customWidth="1"/>
    <col min="8" max="8" width="12.90625" style="7" customWidth="1"/>
    <col min="9" max="9" width="12.08984375" style="7" bestFit="1" customWidth="1"/>
    <col min="10" max="10" width="6.81640625" style="8" customWidth="1"/>
  </cols>
  <sheetData>
    <row r="1" spans="1:10" x14ac:dyDescent="0.2">
      <c r="A1" s="33" t="s">
        <v>0</v>
      </c>
      <c r="B1" s="6" t="s">
        <v>160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>
        <v>300</v>
      </c>
      <c r="C5" s="24">
        <v>808804204</v>
      </c>
      <c r="D5" s="24">
        <v>154</v>
      </c>
      <c r="E5" s="24">
        <v>570594884</v>
      </c>
      <c r="F5" s="24">
        <v>1012</v>
      </c>
      <c r="G5" s="24">
        <v>1829540269</v>
      </c>
      <c r="H5" s="24">
        <v>1702191769</v>
      </c>
      <c r="I5" s="24">
        <v>198919443</v>
      </c>
      <c r="J5" s="38">
        <v>0.1169</v>
      </c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300</v>
      </c>
      <c r="C17" s="25">
        <v>808804204</v>
      </c>
      <c r="D17" s="25">
        <v>154</v>
      </c>
      <c r="E17" s="25">
        <v>570594884</v>
      </c>
      <c r="F17" s="25">
        <v>1012</v>
      </c>
      <c r="G17" s="25">
        <v>1829540269</v>
      </c>
      <c r="H17" s="25">
        <v>1702191769</v>
      </c>
      <c r="I17" s="25">
        <v>198919443</v>
      </c>
      <c r="J17" s="39">
        <v>0.1169</v>
      </c>
    </row>
    <row r="18" spans="1:10" x14ac:dyDescent="0.2">
      <c r="A18" s="35" t="s">
        <v>90</v>
      </c>
      <c r="B18" s="24">
        <v>1167</v>
      </c>
      <c r="C18" s="24">
        <v>65297644</v>
      </c>
      <c r="D18" s="24">
        <v>1227</v>
      </c>
      <c r="E18" s="24">
        <v>67758014</v>
      </c>
      <c r="F18" s="24">
        <v>483</v>
      </c>
      <c r="G18" s="24">
        <v>95334195</v>
      </c>
      <c r="H18" s="24">
        <v>96248302</v>
      </c>
      <c r="I18" s="24">
        <v>8977840</v>
      </c>
      <c r="J18" s="38">
        <v>9.3299999999999994E-2</v>
      </c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15</v>
      </c>
      <c r="C25" s="24">
        <v>16528000</v>
      </c>
      <c r="D25" s="24">
        <v>49</v>
      </c>
      <c r="E25" s="24">
        <v>49321544</v>
      </c>
      <c r="F25" s="24">
        <v>91</v>
      </c>
      <c r="G25" s="24">
        <v>64456400</v>
      </c>
      <c r="H25" s="24">
        <v>78414117</v>
      </c>
      <c r="I25" s="24">
        <v>6522460</v>
      </c>
      <c r="J25" s="38">
        <v>8.3199999999999996E-2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1182</v>
      </c>
      <c r="C31" s="25">
        <v>81825644</v>
      </c>
      <c r="D31" s="25">
        <v>1276</v>
      </c>
      <c r="E31" s="25">
        <v>117079558</v>
      </c>
      <c r="F31" s="25">
        <v>574</v>
      </c>
      <c r="G31" s="25">
        <v>159790595</v>
      </c>
      <c r="H31" s="25">
        <v>174662419</v>
      </c>
      <c r="I31" s="25">
        <v>15500300</v>
      </c>
      <c r="J31" s="39">
        <v>8.8249999999999995E-2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>
        <v>57</v>
      </c>
      <c r="C36" s="24">
        <v>554695980</v>
      </c>
      <c r="D36" s="24">
        <v>51</v>
      </c>
      <c r="E36" s="24">
        <v>538465317</v>
      </c>
      <c r="F36" s="24">
        <v>96</v>
      </c>
      <c r="G36" s="24">
        <v>620918077</v>
      </c>
      <c r="H36" s="24">
        <v>591284274</v>
      </c>
      <c r="I36" s="24">
        <v>84272039</v>
      </c>
      <c r="J36" s="38">
        <v>0.14249999999999999</v>
      </c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57</v>
      </c>
      <c r="C38" s="25">
        <v>554695980</v>
      </c>
      <c r="D38" s="25">
        <v>51</v>
      </c>
      <c r="E38" s="25">
        <v>538465317</v>
      </c>
      <c r="F38" s="25">
        <v>96</v>
      </c>
      <c r="G38" s="25">
        <v>620918077</v>
      </c>
      <c r="H38" s="25">
        <v>591284274</v>
      </c>
      <c r="I38" s="25">
        <v>84272039</v>
      </c>
      <c r="J38" s="39">
        <v>0.14249999999999999</v>
      </c>
    </row>
    <row r="39" spans="1:10" ht="24" x14ac:dyDescent="0.2">
      <c r="A39" s="35" t="s">
        <v>87</v>
      </c>
      <c r="B39" s="24">
        <v>77</v>
      </c>
      <c r="C39" s="24">
        <v>58318027</v>
      </c>
      <c r="D39" s="24">
        <v>113</v>
      </c>
      <c r="E39" s="24">
        <v>85812536</v>
      </c>
      <c r="F39" s="24">
        <v>192</v>
      </c>
      <c r="G39" s="24">
        <v>141939755</v>
      </c>
      <c r="H39" s="24">
        <v>155665443</v>
      </c>
      <c r="I39" s="24">
        <v>18988968</v>
      </c>
      <c r="J39" s="38">
        <v>0.122</v>
      </c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77</v>
      </c>
      <c r="C47" s="25">
        <v>58318027</v>
      </c>
      <c r="D47" s="25">
        <v>113</v>
      </c>
      <c r="E47" s="25">
        <v>85812536</v>
      </c>
      <c r="F47" s="25">
        <v>192</v>
      </c>
      <c r="G47" s="25">
        <v>141939755</v>
      </c>
      <c r="H47" s="25">
        <v>155665443</v>
      </c>
      <c r="I47" s="25">
        <v>18988968</v>
      </c>
      <c r="J47" s="39">
        <v>0.122</v>
      </c>
    </row>
    <row r="48" spans="1:10" x14ac:dyDescent="0.2">
      <c r="A48" s="35" t="s">
        <v>58</v>
      </c>
      <c r="B48" s="24">
        <v>23</v>
      </c>
      <c r="C48" s="24">
        <v>55620000</v>
      </c>
      <c r="D48" s="24">
        <v>59</v>
      </c>
      <c r="E48" s="24">
        <v>90814489</v>
      </c>
      <c r="F48" s="24">
        <v>143</v>
      </c>
      <c r="G48" s="24">
        <v>206023541</v>
      </c>
      <c r="H48" s="24">
        <v>220038867</v>
      </c>
      <c r="I48" s="24">
        <v>15956227</v>
      </c>
      <c r="J48" s="38">
        <v>7.2499999999999995E-2</v>
      </c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>
        <v>1995</v>
      </c>
      <c r="C50" s="24">
        <v>61957530</v>
      </c>
      <c r="D50" s="24">
        <v>2523</v>
      </c>
      <c r="E50" s="24">
        <v>77974960</v>
      </c>
      <c r="F50" s="24">
        <v>1920</v>
      </c>
      <c r="G50" s="24">
        <v>23355510</v>
      </c>
      <c r="H50" s="24">
        <v>35524333</v>
      </c>
      <c r="I50" s="24">
        <v>2879910</v>
      </c>
      <c r="J50" s="38">
        <v>8.1100000000000005E-2</v>
      </c>
    </row>
    <row r="51" spans="1:10" x14ac:dyDescent="0.2">
      <c r="A51" s="35" t="s">
        <v>79</v>
      </c>
      <c r="B51" s="24">
        <v>0</v>
      </c>
      <c r="C51" s="24"/>
      <c r="D51" s="24">
        <v>3</v>
      </c>
      <c r="E51" s="24">
        <v>1890786</v>
      </c>
      <c r="F51" s="24">
        <v>1</v>
      </c>
      <c r="G51" s="24">
        <v>808572</v>
      </c>
      <c r="H51" s="24">
        <v>1617089</v>
      </c>
      <c r="I51" s="24">
        <v>116276</v>
      </c>
      <c r="J51" s="38">
        <v>7.1900000000000006E-2</v>
      </c>
    </row>
    <row r="52" spans="1:10" x14ac:dyDescent="0.2">
      <c r="A52" s="36" t="s">
        <v>73</v>
      </c>
      <c r="B52" s="25">
        <v>2018</v>
      </c>
      <c r="C52" s="25">
        <v>117577530</v>
      </c>
      <c r="D52" s="25">
        <v>2585</v>
      </c>
      <c r="E52" s="25">
        <v>170680235</v>
      </c>
      <c r="F52" s="25">
        <v>2064</v>
      </c>
      <c r="G52" s="25">
        <v>230187623</v>
      </c>
      <c r="H52" s="25">
        <v>257180289</v>
      </c>
      <c r="I52" s="25">
        <v>18952413</v>
      </c>
      <c r="J52" s="39">
        <v>7.5166666666666673E-2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>
        <v>21</v>
      </c>
      <c r="C61" s="24">
        <v>118850000</v>
      </c>
      <c r="D61" s="24">
        <v>24</v>
      </c>
      <c r="E61" s="24">
        <v>129828813</v>
      </c>
      <c r="F61" s="24">
        <v>31</v>
      </c>
      <c r="G61" s="24">
        <v>77954505</v>
      </c>
      <c r="H61" s="24">
        <v>84734918</v>
      </c>
      <c r="I61" s="24">
        <v>5379256</v>
      </c>
      <c r="J61" s="38">
        <v>6.3500000000000001E-2</v>
      </c>
    </row>
    <row r="62" spans="1:10" x14ac:dyDescent="0.2">
      <c r="A62" s="36" t="s">
        <v>73</v>
      </c>
      <c r="B62" s="25">
        <v>21</v>
      </c>
      <c r="C62" s="25">
        <v>118850000</v>
      </c>
      <c r="D62" s="25">
        <v>24</v>
      </c>
      <c r="E62" s="25">
        <v>129828813</v>
      </c>
      <c r="F62" s="25">
        <v>31</v>
      </c>
      <c r="G62" s="25">
        <v>77954505</v>
      </c>
      <c r="H62" s="25">
        <v>84734918</v>
      </c>
      <c r="I62" s="25">
        <v>5379256</v>
      </c>
      <c r="J62" s="39">
        <v>6.3500000000000001E-2</v>
      </c>
    </row>
    <row r="63" spans="1:10" ht="13.5" thickBot="1" x14ac:dyDescent="0.25">
      <c r="A63" s="37" t="s">
        <v>61</v>
      </c>
      <c r="B63" s="40">
        <v>3655</v>
      </c>
      <c r="C63" s="40">
        <v>1740071385</v>
      </c>
      <c r="D63" s="40">
        <v>4203</v>
      </c>
      <c r="E63" s="40">
        <v>1612461343</v>
      </c>
      <c r="F63" s="40">
        <v>3969</v>
      </c>
      <c r="G63" s="40">
        <v>3060330824</v>
      </c>
      <c r="H63" s="40">
        <v>2965719112</v>
      </c>
      <c r="I63" s="40">
        <v>342012419</v>
      </c>
      <c r="J63" s="41">
        <v>0.11532191892891575</v>
      </c>
    </row>
  </sheetData>
  <phoneticPr fontId="2"/>
  <pageMargins left="0.7" right="0.7" top="0.75" bottom="0.75" header="0.3" footer="0.3"/>
  <pageSetup paperSize="9" scale="86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A2DAB-256C-4327-9F09-80D2B6B5648F}">
  <sheetPr>
    <pageSetUpPr fitToPage="1"/>
  </sheetPr>
  <dimension ref="A1:J63"/>
  <sheetViews>
    <sheetView workbookViewId="0">
      <selection activeCell="A2" sqref="A2"/>
    </sheetView>
  </sheetViews>
  <sheetFormatPr defaultRowHeight="13" x14ac:dyDescent="0.2"/>
  <cols>
    <col min="1" max="1" width="15.81640625" style="33" customWidth="1"/>
    <col min="2" max="2" width="5.7265625" style="7" customWidth="1"/>
    <col min="3" max="3" width="12.36328125" style="7" customWidth="1"/>
    <col min="4" max="4" width="6.6328125" style="7" customWidth="1"/>
    <col min="5" max="5" width="12.7265625" style="7" customWidth="1"/>
    <col min="6" max="6" width="6.36328125" style="7" customWidth="1"/>
    <col min="7" max="8" width="13.6328125" style="7" bestFit="1" customWidth="1"/>
    <col min="9" max="9" width="12.6328125" style="7" customWidth="1"/>
    <col min="10" max="10" width="6.7265625" style="8" customWidth="1"/>
  </cols>
  <sheetData>
    <row r="1" spans="1:10" x14ac:dyDescent="0.2">
      <c r="A1" s="33" t="s">
        <v>0</v>
      </c>
      <c r="B1" s="6" t="s">
        <v>161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>
        <v>530</v>
      </c>
      <c r="C5" s="24">
        <v>1177907531</v>
      </c>
      <c r="D5" s="24">
        <v>205</v>
      </c>
      <c r="E5" s="24">
        <v>596614875</v>
      </c>
      <c r="F5" s="24">
        <v>1337</v>
      </c>
      <c r="G5" s="24">
        <v>2410832925</v>
      </c>
      <c r="H5" s="24">
        <v>2058828785</v>
      </c>
      <c r="I5" s="24">
        <v>224995594</v>
      </c>
      <c r="J5" s="38">
        <v>0.10929999999999999</v>
      </c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530</v>
      </c>
      <c r="C17" s="25">
        <v>1177907531</v>
      </c>
      <c r="D17" s="25">
        <v>205</v>
      </c>
      <c r="E17" s="25">
        <v>596614875</v>
      </c>
      <c r="F17" s="25">
        <v>1337</v>
      </c>
      <c r="G17" s="25">
        <v>2410832925</v>
      </c>
      <c r="H17" s="25">
        <v>2058828785</v>
      </c>
      <c r="I17" s="25">
        <v>224995594</v>
      </c>
      <c r="J17" s="39">
        <v>0.10929999999999999</v>
      </c>
    </row>
    <row r="18" spans="1:10" x14ac:dyDescent="0.2">
      <c r="A18" s="35" t="s">
        <v>90</v>
      </c>
      <c r="B18" s="24">
        <v>1005</v>
      </c>
      <c r="C18" s="24">
        <v>51841399</v>
      </c>
      <c r="D18" s="24">
        <v>1021</v>
      </c>
      <c r="E18" s="24">
        <v>63219716</v>
      </c>
      <c r="F18" s="24">
        <v>467</v>
      </c>
      <c r="G18" s="24">
        <v>83955878</v>
      </c>
      <c r="H18" s="24">
        <v>89674797</v>
      </c>
      <c r="I18" s="24">
        <v>8892516</v>
      </c>
      <c r="J18" s="38">
        <v>0.19189999999999999</v>
      </c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17</v>
      </c>
      <c r="C25" s="24">
        <v>21567000</v>
      </c>
      <c r="D25" s="24">
        <v>45</v>
      </c>
      <c r="E25" s="24">
        <v>36609700</v>
      </c>
      <c r="F25" s="24">
        <v>63</v>
      </c>
      <c r="G25" s="24">
        <v>49413700</v>
      </c>
      <c r="H25" s="24">
        <v>58260249</v>
      </c>
      <c r="I25" s="24">
        <v>4556600</v>
      </c>
      <c r="J25" s="38">
        <v>7.8200000000000006E-2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1022</v>
      </c>
      <c r="C31" s="25">
        <v>73408399</v>
      </c>
      <c r="D31" s="25">
        <v>1066</v>
      </c>
      <c r="E31" s="25">
        <v>99829416</v>
      </c>
      <c r="F31" s="25">
        <v>530</v>
      </c>
      <c r="G31" s="25">
        <v>133369578</v>
      </c>
      <c r="H31" s="25">
        <v>147935046</v>
      </c>
      <c r="I31" s="25">
        <v>13449116</v>
      </c>
      <c r="J31" s="39">
        <v>0.13505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>
        <v>60</v>
      </c>
      <c r="C36" s="24">
        <v>494607561</v>
      </c>
      <c r="D36" s="24">
        <v>54</v>
      </c>
      <c r="E36" s="24">
        <v>481641038</v>
      </c>
      <c r="F36" s="24">
        <v>102</v>
      </c>
      <c r="G36" s="24">
        <v>633884600</v>
      </c>
      <c r="H36" s="24">
        <v>596202018</v>
      </c>
      <c r="I36" s="24">
        <v>76923049</v>
      </c>
      <c r="J36" s="38">
        <v>0.129</v>
      </c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60</v>
      </c>
      <c r="C38" s="25">
        <v>494607561</v>
      </c>
      <c r="D38" s="25">
        <v>54</v>
      </c>
      <c r="E38" s="25">
        <v>481641038</v>
      </c>
      <c r="F38" s="25">
        <v>102</v>
      </c>
      <c r="G38" s="25">
        <v>633884600</v>
      </c>
      <c r="H38" s="25">
        <v>596202018</v>
      </c>
      <c r="I38" s="25">
        <v>76923049</v>
      </c>
      <c r="J38" s="39">
        <v>0.129</v>
      </c>
    </row>
    <row r="39" spans="1:10" ht="24" x14ac:dyDescent="0.2">
      <c r="A39" s="35" t="s">
        <v>87</v>
      </c>
      <c r="B39" s="24">
        <v>161</v>
      </c>
      <c r="C39" s="24">
        <v>110781875</v>
      </c>
      <c r="D39" s="24">
        <v>116</v>
      </c>
      <c r="E39" s="24">
        <v>80570632</v>
      </c>
      <c r="F39" s="24">
        <v>237</v>
      </c>
      <c r="G39" s="24">
        <v>172150998</v>
      </c>
      <c r="H39" s="24">
        <v>153299482</v>
      </c>
      <c r="I39" s="24">
        <v>16253146</v>
      </c>
      <c r="J39" s="38">
        <v>0.106</v>
      </c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161</v>
      </c>
      <c r="C47" s="25">
        <v>110781875</v>
      </c>
      <c r="D47" s="25">
        <v>116</v>
      </c>
      <c r="E47" s="25">
        <v>80570632</v>
      </c>
      <c r="F47" s="25">
        <v>237</v>
      </c>
      <c r="G47" s="25">
        <v>172150998</v>
      </c>
      <c r="H47" s="25">
        <v>153299482</v>
      </c>
      <c r="I47" s="25">
        <v>16253146</v>
      </c>
      <c r="J47" s="39">
        <v>0.106</v>
      </c>
    </row>
    <row r="48" spans="1:10" x14ac:dyDescent="0.2">
      <c r="A48" s="35" t="s">
        <v>58</v>
      </c>
      <c r="B48" s="24">
        <v>31</v>
      </c>
      <c r="C48" s="24">
        <v>71680000</v>
      </c>
      <c r="D48" s="24">
        <v>49</v>
      </c>
      <c r="E48" s="24">
        <v>73935181</v>
      </c>
      <c r="F48" s="24">
        <v>125</v>
      </c>
      <c r="G48" s="24">
        <v>203768360</v>
      </c>
      <c r="H48" s="24">
        <v>198493387</v>
      </c>
      <c r="I48" s="24">
        <v>14052447</v>
      </c>
      <c r="J48" s="38">
        <v>7.0800000000000002E-2</v>
      </c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>
        <v>7</v>
      </c>
      <c r="C50" s="24">
        <v>384480</v>
      </c>
      <c r="D50" s="24">
        <v>1920</v>
      </c>
      <c r="E50" s="24">
        <v>23550470</v>
      </c>
      <c r="F50" s="24">
        <v>7</v>
      </c>
      <c r="G50" s="24">
        <v>189520</v>
      </c>
      <c r="H50" s="24">
        <v>9276965</v>
      </c>
      <c r="I50" s="24">
        <v>21150</v>
      </c>
      <c r="J50" s="38">
        <v>2.3E-3</v>
      </c>
    </row>
    <row r="51" spans="1:10" x14ac:dyDescent="0.2">
      <c r="A51" s="35" t="s">
        <v>79</v>
      </c>
      <c r="B51" s="24">
        <v>0</v>
      </c>
      <c r="C51" s="24">
        <v>0</v>
      </c>
      <c r="D51" s="24">
        <v>0</v>
      </c>
      <c r="E51" s="24">
        <v>190374</v>
      </c>
      <c r="F51" s="24">
        <v>1</v>
      </c>
      <c r="G51" s="24">
        <v>618198</v>
      </c>
      <c r="H51" s="24">
        <v>706989</v>
      </c>
      <c r="I51" s="24">
        <v>36688</v>
      </c>
      <c r="J51" s="38">
        <v>5.1900000000000002E-2</v>
      </c>
    </row>
    <row r="52" spans="1:10" x14ac:dyDescent="0.2">
      <c r="A52" s="36" t="s">
        <v>73</v>
      </c>
      <c r="B52" s="25">
        <v>38</v>
      </c>
      <c r="C52" s="25">
        <v>72064480</v>
      </c>
      <c r="D52" s="25">
        <v>1969</v>
      </c>
      <c r="E52" s="25">
        <v>97676025</v>
      </c>
      <c r="F52" s="25">
        <v>133</v>
      </c>
      <c r="G52" s="25">
        <v>204576078</v>
      </c>
      <c r="H52" s="25">
        <v>208477341</v>
      </c>
      <c r="I52" s="25">
        <v>14110285</v>
      </c>
      <c r="J52" s="39">
        <v>4.1666666666666664E-2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>
        <v>24</v>
      </c>
      <c r="C61" s="24">
        <v>101470000</v>
      </c>
      <c r="D61" s="24">
        <v>27</v>
      </c>
      <c r="E61" s="24">
        <v>152656468</v>
      </c>
      <c r="F61" s="24">
        <v>28</v>
      </c>
      <c r="G61" s="24">
        <v>26768037</v>
      </c>
      <c r="H61" s="24">
        <v>77037380</v>
      </c>
      <c r="I61" s="24">
        <v>4496364</v>
      </c>
      <c r="J61" s="38">
        <v>5.8400000000000001E-2</v>
      </c>
    </row>
    <row r="62" spans="1:10" x14ac:dyDescent="0.2">
      <c r="A62" s="36" t="s">
        <v>73</v>
      </c>
      <c r="B62" s="25">
        <v>24</v>
      </c>
      <c r="C62" s="25">
        <v>101470000</v>
      </c>
      <c r="D62" s="25">
        <v>27</v>
      </c>
      <c r="E62" s="25">
        <v>152656468</v>
      </c>
      <c r="F62" s="25">
        <v>28</v>
      </c>
      <c r="G62" s="25">
        <v>26768037</v>
      </c>
      <c r="H62" s="25">
        <v>77037380</v>
      </c>
      <c r="I62" s="25">
        <v>4496364</v>
      </c>
      <c r="J62" s="39">
        <v>5.8400000000000001E-2</v>
      </c>
    </row>
    <row r="63" spans="1:10" ht="13.5" thickBot="1" x14ac:dyDescent="0.25">
      <c r="A63" s="37" t="s">
        <v>61</v>
      </c>
      <c r="B63" s="40">
        <v>1835</v>
      </c>
      <c r="C63" s="40">
        <v>2030239846</v>
      </c>
      <c r="D63" s="40">
        <v>3437</v>
      </c>
      <c r="E63" s="40">
        <v>1508988454</v>
      </c>
      <c r="F63" s="40">
        <v>2367</v>
      </c>
      <c r="G63" s="40">
        <v>3581582216</v>
      </c>
      <c r="H63" s="40">
        <v>3241780052</v>
      </c>
      <c r="I63" s="40">
        <v>350227554</v>
      </c>
      <c r="J63" s="41">
        <v>0.10803556946558693</v>
      </c>
    </row>
  </sheetData>
  <phoneticPr fontId="2"/>
  <pageMargins left="0.7" right="0.7" top="0.75" bottom="0.75" header="0.3" footer="0.3"/>
  <pageSetup paperSize="9" scale="83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B3A9D-B3F4-4C49-A57C-69B3E17DFE24}">
  <sheetPr>
    <pageSetUpPr fitToPage="1"/>
  </sheetPr>
  <dimension ref="A1:J63"/>
  <sheetViews>
    <sheetView workbookViewId="0">
      <selection activeCell="A2" sqref="A2"/>
    </sheetView>
  </sheetViews>
  <sheetFormatPr defaultRowHeight="13" x14ac:dyDescent="0.2"/>
  <cols>
    <col min="1" max="1" width="15.81640625" style="33" customWidth="1"/>
    <col min="2" max="2" width="6" style="7" customWidth="1"/>
    <col min="3" max="3" width="13.6328125" style="7" bestFit="1" customWidth="1"/>
    <col min="4" max="4" width="6.1796875" style="7" customWidth="1"/>
    <col min="5" max="5" width="14.453125" style="7" customWidth="1"/>
    <col min="6" max="6" width="5.90625" style="7" customWidth="1"/>
    <col min="7" max="7" width="11.90625" style="7" customWidth="1"/>
    <col min="8" max="8" width="12.453125" style="7" customWidth="1"/>
    <col min="9" max="9" width="12.08984375" style="7" bestFit="1" customWidth="1"/>
    <col min="10" max="10" width="6.453125" style="8" customWidth="1"/>
  </cols>
  <sheetData>
    <row r="1" spans="1:10" x14ac:dyDescent="0.2">
      <c r="A1" s="33" t="s">
        <v>0</v>
      </c>
      <c r="B1" s="6" t="s">
        <v>162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>
        <v>518</v>
      </c>
      <c r="C5" s="24">
        <v>1238129462</v>
      </c>
      <c r="D5" s="24">
        <v>239</v>
      </c>
      <c r="E5" s="24">
        <v>814220561</v>
      </c>
      <c r="F5" s="24">
        <v>1616</v>
      </c>
      <c r="G5" s="24">
        <v>2834741826</v>
      </c>
      <c r="H5" s="24">
        <v>2654208728</v>
      </c>
      <c r="I5" s="24">
        <v>274871952</v>
      </c>
      <c r="J5" s="38">
        <v>0.1036</v>
      </c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/>
      <c r="C8" s="24"/>
      <c r="D8" s="24"/>
      <c r="E8" s="24"/>
      <c r="F8" s="24"/>
      <c r="G8" s="24"/>
      <c r="H8" s="24"/>
      <c r="I8" s="24"/>
      <c r="J8" s="38"/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/>
      <c r="E10" s="24"/>
      <c r="F10" s="24"/>
      <c r="G10" s="24"/>
      <c r="H10" s="24"/>
      <c r="I10" s="24"/>
      <c r="J10" s="38"/>
    </row>
    <row r="11" spans="1:10" x14ac:dyDescent="0.2">
      <c r="A11" s="35" t="s">
        <v>37</v>
      </c>
      <c r="B11" s="24"/>
      <c r="C11" s="24"/>
      <c r="D11" s="24"/>
      <c r="E11" s="24"/>
      <c r="F11" s="24"/>
      <c r="G11" s="24"/>
      <c r="H11" s="24"/>
      <c r="I11" s="24"/>
      <c r="J11" s="38"/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/>
      <c r="F15" s="24"/>
      <c r="G15" s="24"/>
      <c r="H15" s="24"/>
      <c r="I15" s="24"/>
      <c r="J15" s="38"/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518</v>
      </c>
      <c r="C17" s="25">
        <v>1238129462</v>
      </c>
      <c r="D17" s="25">
        <v>239</v>
      </c>
      <c r="E17" s="25">
        <v>814220561</v>
      </c>
      <c r="F17" s="25">
        <v>1616</v>
      </c>
      <c r="G17" s="25">
        <v>2834741826</v>
      </c>
      <c r="H17" s="25">
        <v>2654208728</v>
      </c>
      <c r="I17" s="25">
        <v>274871952</v>
      </c>
      <c r="J17" s="39">
        <v>0.1036</v>
      </c>
    </row>
    <row r="18" spans="1:10" x14ac:dyDescent="0.2">
      <c r="A18" s="35" t="s">
        <v>90</v>
      </c>
      <c r="B18" s="24">
        <v>886</v>
      </c>
      <c r="C18" s="24">
        <v>41557420</v>
      </c>
      <c r="D18" s="24">
        <v>985</v>
      </c>
      <c r="E18" s="24">
        <v>59941694</v>
      </c>
      <c r="F18" s="24">
        <v>368</v>
      </c>
      <c r="G18" s="24">
        <v>65571604</v>
      </c>
      <c r="H18" s="24">
        <v>76158090</v>
      </c>
      <c r="I18" s="24">
        <v>7868764</v>
      </c>
      <c r="J18" s="38">
        <v>8.4599999999999995E-2</v>
      </c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9</v>
      </c>
      <c r="C25" s="24">
        <v>11190000</v>
      </c>
      <c r="D25" s="24">
        <v>33</v>
      </c>
      <c r="E25" s="24">
        <v>24117000</v>
      </c>
      <c r="F25" s="24">
        <v>39</v>
      </c>
      <c r="G25" s="24">
        <v>36486700</v>
      </c>
      <c r="H25" s="24">
        <v>42870404</v>
      </c>
      <c r="I25" s="24">
        <v>3002345</v>
      </c>
      <c r="J25" s="38">
        <v>7.0000000000000007E-2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895</v>
      </c>
      <c r="C31" s="25">
        <v>52747420</v>
      </c>
      <c r="D31" s="25">
        <v>1018</v>
      </c>
      <c r="E31" s="25">
        <v>84058694</v>
      </c>
      <c r="F31" s="25">
        <v>407</v>
      </c>
      <c r="G31" s="25">
        <v>102058304</v>
      </c>
      <c r="H31" s="25">
        <v>119028494</v>
      </c>
      <c r="I31" s="25">
        <v>10871109</v>
      </c>
      <c r="J31" s="39">
        <v>7.7300000000000008E-2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>
        <v>45</v>
      </c>
      <c r="C36" s="24">
        <v>412050000</v>
      </c>
      <c r="D36" s="24">
        <v>36</v>
      </c>
      <c r="E36" s="24">
        <v>347419016</v>
      </c>
      <c r="F36" s="24">
        <v>111</v>
      </c>
      <c r="G36" s="24">
        <v>698515584</v>
      </c>
      <c r="H36" s="24">
        <v>646493483</v>
      </c>
      <c r="I36" s="24">
        <v>92513663</v>
      </c>
      <c r="J36" s="38">
        <v>0.1431</v>
      </c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45</v>
      </c>
      <c r="C38" s="25">
        <v>412050000</v>
      </c>
      <c r="D38" s="25">
        <v>36</v>
      </c>
      <c r="E38" s="25">
        <v>347419016</v>
      </c>
      <c r="F38" s="25">
        <v>111</v>
      </c>
      <c r="G38" s="25">
        <v>698515584</v>
      </c>
      <c r="H38" s="25">
        <v>646493483</v>
      </c>
      <c r="I38" s="25">
        <v>92513663</v>
      </c>
      <c r="J38" s="39">
        <v>0.1431</v>
      </c>
    </row>
    <row r="39" spans="1:10" ht="24" x14ac:dyDescent="0.2">
      <c r="A39" s="35" t="s">
        <v>87</v>
      </c>
      <c r="B39" s="24">
        <v>152</v>
      </c>
      <c r="C39" s="24">
        <v>108423886</v>
      </c>
      <c r="D39" s="24">
        <v>110</v>
      </c>
      <c r="E39" s="24">
        <v>89805552</v>
      </c>
      <c r="F39" s="24">
        <v>279</v>
      </c>
      <c r="G39" s="24">
        <v>190769332</v>
      </c>
      <c r="H39" s="24">
        <v>172178702</v>
      </c>
      <c r="I39" s="24">
        <v>17742035</v>
      </c>
      <c r="J39" s="38">
        <v>0.10299999999999999</v>
      </c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/>
      <c r="C41" s="24"/>
      <c r="D41" s="24"/>
      <c r="E41" s="24"/>
      <c r="F41" s="24"/>
      <c r="G41" s="24"/>
      <c r="H41" s="24"/>
      <c r="I41" s="24"/>
      <c r="J41" s="38"/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/>
      <c r="E44" s="24"/>
      <c r="F44" s="24"/>
      <c r="G44" s="24"/>
      <c r="H44" s="24"/>
      <c r="I44" s="24"/>
      <c r="J44" s="38"/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152</v>
      </c>
      <c r="C47" s="25">
        <v>108423886</v>
      </c>
      <c r="D47" s="25">
        <v>110</v>
      </c>
      <c r="E47" s="25">
        <v>89805552</v>
      </c>
      <c r="F47" s="25">
        <v>279</v>
      </c>
      <c r="G47" s="25">
        <v>190769332</v>
      </c>
      <c r="H47" s="25">
        <v>172178702</v>
      </c>
      <c r="I47" s="25">
        <v>17742035</v>
      </c>
      <c r="J47" s="39">
        <v>0.10299999999999999</v>
      </c>
    </row>
    <row r="48" spans="1:10" x14ac:dyDescent="0.2">
      <c r="A48" s="35" t="s">
        <v>58</v>
      </c>
      <c r="B48" s="24">
        <v>17</v>
      </c>
      <c r="C48" s="24">
        <v>33520500</v>
      </c>
      <c r="D48" s="24">
        <v>38</v>
      </c>
      <c r="E48" s="24">
        <v>67779972</v>
      </c>
      <c r="F48" s="24">
        <v>104</v>
      </c>
      <c r="G48" s="24">
        <v>169508888</v>
      </c>
      <c r="H48" s="24">
        <v>185976465</v>
      </c>
      <c r="I48" s="24">
        <v>13193756</v>
      </c>
      <c r="J48" s="38">
        <v>7.0900000000000005E-2</v>
      </c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>
        <v>4</v>
      </c>
      <c r="C50" s="24">
        <v>237600</v>
      </c>
      <c r="D50" s="24">
        <v>5</v>
      </c>
      <c r="E50" s="24">
        <v>232880</v>
      </c>
      <c r="F50" s="24">
        <v>6</v>
      </c>
      <c r="G50" s="24">
        <v>194240</v>
      </c>
      <c r="H50" s="24">
        <v>137450</v>
      </c>
      <c r="I50" s="24">
        <v>14020</v>
      </c>
      <c r="J50" s="38">
        <v>0.10199999999999999</v>
      </c>
    </row>
    <row r="51" spans="1:10" x14ac:dyDescent="0.2">
      <c r="A51" s="35" t="s">
        <v>79</v>
      </c>
      <c r="B51" s="24">
        <v>0</v>
      </c>
      <c r="C51" s="24">
        <v>0</v>
      </c>
      <c r="D51" s="24">
        <v>0</v>
      </c>
      <c r="E51" s="24">
        <v>200083</v>
      </c>
      <c r="F51" s="24">
        <v>1</v>
      </c>
      <c r="G51" s="24">
        <v>418115</v>
      </c>
      <c r="H51" s="24">
        <v>511438</v>
      </c>
      <c r="I51" s="24">
        <v>26979</v>
      </c>
      <c r="J51" s="38">
        <v>5.28E-2</v>
      </c>
    </row>
    <row r="52" spans="1:10" x14ac:dyDescent="0.2">
      <c r="A52" s="36" t="s">
        <v>73</v>
      </c>
      <c r="B52" s="25">
        <v>21</v>
      </c>
      <c r="C52" s="25">
        <v>33758100</v>
      </c>
      <c r="D52" s="25">
        <v>43</v>
      </c>
      <c r="E52" s="25">
        <v>68212935</v>
      </c>
      <c r="F52" s="25">
        <v>111</v>
      </c>
      <c r="G52" s="25">
        <v>170121243</v>
      </c>
      <c r="H52" s="25">
        <v>186625353</v>
      </c>
      <c r="I52" s="25">
        <v>13234755</v>
      </c>
      <c r="J52" s="39">
        <v>7.5233333333333333E-2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>
        <v>17</v>
      </c>
      <c r="C61" s="24">
        <v>49440000</v>
      </c>
      <c r="D61" s="24">
        <v>34</v>
      </c>
      <c r="E61" s="24">
        <v>68491997</v>
      </c>
      <c r="F61" s="24">
        <v>11</v>
      </c>
      <c r="G61" s="24">
        <v>7716040</v>
      </c>
      <c r="H61" s="24">
        <v>32799840</v>
      </c>
      <c r="I61" s="24">
        <v>1850428</v>
      </c>
      <c r="J61" s="38">
        <v>5.6399999999999999E-2</v>
      </c>
    </row>
    <row r="62" spans="1:10" x14ac:dyDescent="0.2">
      <c r="A62" s="36" t="s">
        <v>73</v>
      </c>
      <c r="B62" s="25">
        <v>17</v>
      </c>
      <c r="C62" s="25">
        <v>49440000</v>
      </c>
      <c r="D62" s="25">
        <v>34</v>
      </c>
      <c r="E62" s="25">
        <v>68491997</v>
      </c>
      <c r="F62" s="25">
        <v>11</v>
      </c>
      <c r="G62" s="25">
        <v>7716040</v>
      </c>
      <c r="H62" s="25">
        <v>32799840</v>
      </c>
      <c r="I62" s="25">
        <v>1850428</v>
      </c>
      <c r="J62" s="39">
        <v>5.6399999999999999E-2</v>
      </c>
    </row>
    <row r="63" spans="1:10" ht="13.5" thickBot="1" x14ac:dyDescent="0.25">
      <c r="A63" s="37" t="s">
        <v>61</v>
      </c>
      <c r="B63" s="40">
        <v>1648</v>
      </c>
      <c r="C63" s="40">
        <v>1894548868</v>
      </c>
      <c r="D63" s="40">
        <v>1480</v>
      </c>
      <c r="E63" s="40">
        <v>1472208755</v>
      </c>
      <c r="F63" s="40">
        <v>2535</v>
      </c>
      <c r="G63" s="40">
        <v>4003922329</v>
      </c>
      <c r="H63" s="40">
        <v>3811334600</v>
      </c>
      <c r="I63" s="40">
        <v>411083942</v>
      </c>
      <c r="J63" s="41">
        <v>0.10785826623566454</v>
      </c>
    </row>
  </sheetData>
  <phoneticPr fontId="2"/>
  <pageMargins left="0.7" right="0.7" top="0.75" bottom="0.75" header="0.3" footer="0.3"/>
  <pageSetup paperSize="9" scale="85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C6D24-AEBF-46B1-9814-53CEB6A63D91}">
  <sheetPr>
    <pageSetUpPr fitToPage="1"/>
  </sheetPr>
  <dimension ref="A1:J63"/>
  <sheetViews>
    <sheetView workbookViewId="0">
      <selection activeCell="A2" sqref="A2"/>
    </sheetView>
  </sheetViews>
  <sheetFormatPr defaultRowHeight="13" x14ac:dyDescent="0.2"/>
  <cols>
    <col min="1" max="1" width="15.81640625" style="33" customWidth="1"/>
    <col min="2" max="2" width="6.26953125" style="7" customWidth="1"/>
    <col min="3" max="3" width="13.26953125" style="7" customWidth="1"/>
    <col min="4" max="4" width="5.81640625" style="7" customWidth="1"/>
    <col min="5" max="5" width="13" style="7" customWidth="1"/>
    <col min="6" max="6" width="5.90625" style="7" customWidth="1"/>
    <col min="7" max="7" width="13.08984375" style="7" customWidth="1"/>
    <col min="8" max="8" width="12.81640625" style="7" customWidth="1"/>
    <col min="9" max="9" width="12.08984375" style="7" bestFit="1" customWidth="1"/>
    <col min="10" max="10" width="6.81640625" style="8" customWidth="1"/>
  </cols>
  <sheetData>
    <row r="1" spans="1:10" x14ac:dyDescent="0.2">
      <c r="A1" s="33" t="s">
        <v>0</v>
      </c>
      <c r="B1" s="6" t="s">
        <v>163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>
        <v>0</v>
      </c>
      <c r="C6" s="24">
        <v>0</v>
      </c>
      <c r="D6" s="24">
        <v>15</v>
      </c>
      <c r="E6" s="24">
        <v>10257016</v>
      </c>
      <c r="F6" s="24">
        <v>24</v>
      </c>
      <c r="G6" s="24">
        <v>13675634</v>
      </c>
      <c r="H6" s="24">
        <v>18636005</v>
      </c>
      <c r="I6" s="24">
        <v>2400497</v>
      </c>
      <c r="J6" s="38">
        <v>0.1288</v>
      </c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>
        <v>231</v>
      </c>
      <c r="C8" s="24">
        <v>616907109</v>
      </c>
      <c r="D8" s="24">
        <v>151</v>
      </c>
      <c r="E8" s="24">
        <v>507032531</v>
      </c>
      <c r="F8" s="24">
        <v>992</v>
      </c>
      <c r="G8" s="24">
        <v>1721055771</v>
      </c>
      <c r="H8" s="24">
        <v>1680071833</v>
      </c>
      <c r="I8" s="24">
        <v>167544202</v>
      </c>
      <c r="J8" s="38">
        <v>9.9699999999999997E-2</v>
      </c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>
        <v>11</v>
      </c>
      <c r="C10" s="24">
        <v>44350000</v>
      </c>
      <c r="D10" s="24">
        <v>21</v>
      </c>
      <c r="E10" s="24">
        <v>62759727</v>
      </c>
      <c r="F10" s="24">
        <v>82</v>
      </c>
      <c r="G10" s="24">
        <v>141571515</v>
      </c>
      <c r="H10" s="24">
        <v>153238387</v>
      </c>
      <c r="I10" s="24">
        <v>19854370</v>
      </c>
      <c r="J10" s="38">
        <v>0.12959999999999999</v>
      </c>
    </row>
    <row r="11" spans="1:10" x14ac:dyDescent="0.2">
      <c r="A11" s="35" t="s">
        <v>37</v>
      </c>
      <c r="B11" s="24">
        <v>132</v>
      </c>
      <c r="C11" s="24">
        <v>379820000</v>
      </c>
      <c r="D11" s="24">
        <v>52</v>
      </c>
      <c r="E11" s="24">
        <v>237940210</v>
      </c>
      <c r="F11" s="24">
        <v>461</v>
      </c>
      <c r="G11" s="24">
        <v>1009010950</v>
      </c>
      <c r="H11" s="24">
        <v>951962266</v>
      </c>
      <c r="I11" s="24">
        <v>92499560</v>
      </c>
      <c r="J11" s="38">
        <v>9.7199999999999995E-2</v>
      </c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>
        <v>70</v>
      </c>
      <c r="C14" s="24">
        <v>76240000</v>
      </c>
      <c r="D14" s="24">
        <v>32</v>
      </c>
      <c r="E14" s="24">
        <v>56631552</v>
      </c>
      <c r="F14" s="24">
        <v>178</v>
      </c>
      <c r="G14" s="24">
        <v>153294404</v>
      </c>
      <c r="H14" s="24">
        <v>141067000</v>
      </c>
      <c r="I14" s="24">
        <v>14662961</v>
      </c>
      <c r="J14" s="38">
        <v>0.10390000000000001</v>
      </c>
    </row>
    <row r="15" spans="1:10" x14ac:dyDescent="0.2">
      <c r="A15" s="35" t="s">
        <v>41</v>
      </c>
      <c r="B15" s="24">
        <v>19</v>
      </c>
      <c r="C15" s="24">
        <v>14800000</v>
      </c>
      <c r="D15" s="24">
        <v>16</v>
      </c>
      <c r="E15" s="24">
        <v>13976517</v>
      </c>
      <c r="F15" s="24">
        <v>55</v>
      </c>
      <c r="G15" s="24">
        <v>39653108</v>
      </c>
      <c r="H15" s="24">
        <v>37835646</v>
      </c>
      <c r="I15" s="24">
        <v>3979978</v>
      </c>
      <c r="J15" s="38">
        <v>0.1052</v>
      </c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463</v>
      </c>
      <c r="C17" s="25">
        <v>1132117109</v>
      </c>
      <c r="D17" s="25">
        <v>287</v>
      </c>
      <c r="E17" s="25">
        <v>888597553</v>
      </c>
      <c r="F17" s="25">
        <v>1792</v>
      </c>
      <c r="G17" s="25">
        <v>3078261382</v>
      </c>
      <c r="H17" s="25">
        <v>2982811137</v>
      </c>
      <c r="I17" s="25">
        <v>300941568</v>
      </c>
      <c r="J17" s="39">
        <v>0.11073333333333334</v>
      </c>
    </row>
    <row r="18" spans="1:10" x14ac:dyDescent="0.2">
      <c r="A18" s="35" t="s">
        <v>90</v>
      </c>
      <c r="B18" s="24">
        <v>33</v>
      </c>
      <c r="C18" s="24">
        <v>5899124</v>
      </c>
      <c r="D18" s="24">
        <v>75</v>
      </c>
      <c r="E18" s="24">
        <v>11411108</v>
      </c>
      <c r="F18" s="24">
        <v>73</v>
      </c>
      <c r="G18" s="24">
        <v>7613000</v>
      </c>
      <c r="H18" s="24">
        <v>10311807</v>
      </c>
      <c r="I18" s="24">
        <v>1467660</v>
      </c>
      <c r="J18" s="38">
        <v>0.14230000000000001</v>
      </c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10</v>
      </c>
      <c r="C25" s="24">
        <v>10350880</v>
      </c>
      <c r="D25" s="24">
        <v>15</v>
      </c>
      <c r="E25" s="24">
        <v>15273680</v>
      </c>
      <c r="F25" s="24">
        <v>34</v>
      </c>
      <c r="G25" s="24">
        <v>31563900</v>
      </c>
      <c r="H25" s="24">
        <v>34082475</v>
      </c>
      <c r="I25" s="24">
        <v>3550688</v>
      </c>
      <c r="J25" s="38">
        <v>0.1042</v>
      </c>
    </row>
    <row r="26" spans="1:10" x14ac:dyDescent="0.2">
      <c r="A26" s="35" t="s">
        <v>111</v>
      </c>
      <c r="B26" s="24">
        <v>1</v>
      </c>
      <c r="C26" s="24">
        <v>170000</v>
      </c>
      <c r="D26" s="24">
        <v>16</v>
      </c>
      <c r="E26" s="24">
        <v>1432026</v>
      </c>
      <c r="F26" s="24">
        <v>3</v>
      </c>
      <c r="G26" s="24">
        <v>614500</v>
      </c>
      <c r="H26" s="24">
        <v>1008147</v>
      </c>
      <c r="I26" s="24">
        <v>138874</v>
      </c>
      <c r="J26" s="38">
        <v>0.13780000000000001</v>
      </c>
    </row>
    <row r="27" spans="1:10" ht="24" x14ac:dyDescent="0.2">
      <c r="A27" s="35" t="s">
        <v>91</v>
      </c>
      <c r="B27" s="24">
        <v>73</v>
      </c>
      <c r="C27" s="24">
        <v>29701215</v>
      </c>
      <c r="D27" s="24">
        <v>77</v>
      </c>
      <c r="E27" s="24">
        <v>29374083</v>
      </c>
      <c r="F27" s="24">
        <v>145</v>
      </c>
      <c r="G27" s="24">
        <v>47900314</v>
      </c>
      <c r="H27" s="24">
        <v>49153701</v>
      </c>
      <c r="I27" s="24">
        <v>6327994</v>
      </c>
      <c r="J27" s="38">
        <v>0.12870000000000001</v>
      </c>
    </row>
    <row r="28" spans="1:10" x14ac:dyDescent="0.2">
      <c r="A28" s="35" t="s">
        <v>110</v>
      </c>
      <c r="B28" s="24">
        <v>3</v>
      </c>
      <c r="C28" s="24">
        <v>860485</v>
      </c>
      <c r="D28" s="24">
        <v>11</v>
      </c>
      <c r="E28" s="24">
        <v>1110952</v>
      </c>
      <c r="F28" s="24">
        <v>5</v>
      </c>
      <c r="G28" s="24">
        <v>975200</v>
      </c>
      <c r="H28" s="24">
        <v>895038</v>
      </c>
      <c r="I28" s="24">
        <v>124750</v>
      </c>
      <c r="J28" s="38">
        <v>0.1394</v>
      </c>
    </row>
    <row r="29" spans="1:10" x14ac:dyDescent="0.2">
      <c r="A29" s="35" t="s">
        <v>112</v>
      </c>
      <c r="B29" s="24">
        <v>199</v>
      </c>
      <c r="C29" s="24">
        <v>2624750</v>
      </c>
      <c r="D29" s="24">
        <v>220</v>
      </c>
      <c r="E29" s="24">
        <v>3281750</v>
      </c>
      <c r="F29" s="24">
        <v>34</v>
      </c>
      <c r="G29" s="24">
        <v>975000</v>
      </c>
      <c r="H29" s="24">
        <v>1129867</v>
      </c>
      <c r="I29" s="24">
        <v>45446</v>
      </c>
      <c r="J29" s="38">
        <v>4.02E-2</v>
      </c>
    </row>
    <row r="30" spans="1:10" x14ac:dyDescent="0.2">
      <c r="A30" s="35" t="s">
        <v>113</v>
      </c>
      <c r="B30" s="24">
        <v>404</v>
      </c>
      <c r="C30" s="24">
        <v>1721191</v>
      </c>
      <c r="D30" s="24">
        <v>404</v>
      </c>
      <c r="E30" s="24">
        <v>1755066</v>
      </c>
      <c r="F30" s="24">
        <v>18</v>
      </c>
      <c r="G30" s="24">
        <v>105370</v>
      </c>
      <c r="H30" s="24">
        <v>111069</v>
      </c>
      <c r="I30" s="24">
        <v>0</v>
      </c>
      <c r="J30" s="38">
        <v>0</v>
      </c>
    </row>
    <row r="31" spans="1:10" x14ac:dyDescent="0.2">
      <c r="A31" s="36" t="s">
        <v>73</v>
      </c>
      <c r="B31" s="25">
        <v>723</v>
      </c>
      <c r="C31" s="25">
        <v>51327645</v>
      </c>
      <c r="D31" s="25">
        <v>818</v>
      </c>
      <c r="E31" s="25">
        <v>63638665</v>
      </c>
      <c r="F31" s="25">
        <v>312</v>
      </c>
      <c r="G31" s="25">
        <v>89747284</v>
      </c>
      <c r="H31" s="25">
        <v>96692104</v>
      </c>
      <c r="I31" s="25">
        <v>11655412</v>
      </c>
      <c r="J31" s="39">
        <v>9.8942857142857138E-2</v>
      </c>
    </row>
    <row r="32" spans="1:10" x14ac:dyDescent="0.2">
      <c r="A32" s="35" t="s">
        <v>50</v>
      </c>
      <c r="B32" s="24"/>
      <c r="C32" s="24"/>
      <c r="D32" s="24"/>
      <c r="E32" s="24"/>
      <c r="F32" s="24"/>
      <c r="G32" s="24"/>
      <c r="H32" s="24"/>
      <c r="I32" s="24"/>
      <c r="J32" s="38"/>
    </row>
    <row r="33" spans="1:10" x14ac:dyDescent="0.2">
      <c r="A33" s="35" t="s">
        <v>114</v>
      </c>
      <c r="B33" s="24">
        <v>1</v>
      </c>
      <c r="C33" s="24">
        <v>4500000</v>
      </c>
      <c r="D33" s="24">
        <v>9</v>
      </c>
      <c r="E33" s="24">
        <v>34248125</v>
      </c>
      <c r="F33" s="24">
        <v>20</v>
      </c>
      <c r="G33" s="24">
        <v>83220708</v>
      </c>
      <c r="H33" s="24">
        <v>100231800</v>
      </c>
      <c r="I33" s="24">
        <v>13632317</v>
      </c>
      <c r="J33" s="38">
        <v>0.13600000000000001</v>
      </c>
    </row>
    <row r="34" spans="1:10" x14ac:dyDescent="0.2">
      <c r="A34" s="35" t="s">
        <v>51</v>
      </c>
      <c r="B34" s="24">
        <v>28</v>
      </c>
      <c r="C34" s="24">
        <v>274755876</v>
      </c>
      <c r="D34" s="24">
        <v>35</v>
      </c>
      <c r="E34" s="24">
        <v>366091223</v>
      </c>
      <c r="F34" s="24">
        <v>62</v>
      </c>
      <c r="G34" s="24">
        <v>390765221</v>
      </c>
      <c r="H34" s="24">
        <v>456902572</v>
      </c>
      <c r="I34" s="24">
        <v>62842554</v>
      </c>
      <c r="J34" s="38">
        <v>0.13750000000000001</v>
      </c>
    </row>
    <row r="35" spans="1:10" x14ac:dyDescent="0.2">
      <c r="A35" s="35" t="s">
        <v>52</v>
      </c>
      <c r="B35" s="24">
        <v>4</v>
      </c>
      <c r="C35" s="24">
        <v>27550000</v>
      </c>
      <c r="D35" s="24">
        <v>1</v>
      </c>
      <c r="E35" s="24">
        <v>1716585</v>
      </c>
      <c r="F35" s="24">
        <v>19</v>
      </c>
      <c r="G35" s="24">
        <v>129279598</v>
      </c>
      <c r="H35" s="24">
        <v>120552791</v>
      </c>
      <c r="I35" s="24">
        <v>16076731</v>
      </c>
      <c r="J35" s="38">
        <v>0.13339999999999999</v>
      </c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33</v>
      </c>
      <c r="C38" s="25">
        <v>306805876</v>
      </c>
      <c r="D38" s="25">
        <v>45</v>
      </c>
      <c r="E38" s="25">
        <v>402055933</v>
      </c>
      <c r="F38" s="25">
        <v>101</v>
      </c>
      <c r="G38" s="25">
        <v>603265527</v>
      </c>
      <c r="H38" s="25">
        <v>677687163</v>
      </c>
      <c r="I38" s="25">
        <v>92551602</v>
      </c>
      <c r="J38" s="39">
        <v>0.13563333333333336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>
        <v>0</v>
      </c>
      <c r="C40" s="24">
        <v>0</v>
      </c>
      <c r="D40" s="24">
        <v>27</v>
      </c>
      <c r="E40" s="24">
        <v>20100273</v>
      </c>
      <c r="F40" s="24">
        <v>29</v>
      </c>
      <c r="G40" s="24">
        <v>17275629</v>
      </c>
      <c r="H40" s="24">
        <v>27859777</v>
      </c>
      <c r="I40" s="24">
        <v>3389649</v>
      </c>
      <c r="J40" s="38">
        <v>0.1217</v>
      </c>
    </row>
    <row r="41" spans="1:10" x14ac:dyDescent="0.2">
      <c r="A41" s="35" t="s">
        <v>53</v>
      </c>
      <c r="B41" s="24">
        <v>0</v>
      </c>
      <c r="C41" s="24">
        <v>0</v>
      </c>
      <c r="D41" s="24">
        <v>21</v>
      </c>
      <c r="E41" s="24">
        <v>17179186</v>
      </c>
      <c r="F41" s="24">
        <v>39</v>
      </c>
      <c r="G41" s="24">
        <v>32604936</v>
      </c>
      <c r="H41" s="24">
        <v>40913574</v>
      </c>
      <c r="I41" s="24">
        <v>4399825</v>
      </c>
      <c r="J41" s="38">
        <v>0.1075</v>
      </c>
    </row>
    <row r="42" spans="1:10" x14ac:dyDescent="0.2">
      <c r="A42" s="35" t="s">
        <v>54</v>
      </c>
      <c r="B42" s="24">
        <v>27</v>
      </c>
      <c r="C42" s="24">
        <v>10620000</v>
      </c>
      <c r="D42" s="24">
        <v>24</v>
      </c>
      <c r="E42" s="24">
        <v>7874220</v>
      </c>
      <c r="F42" s="24">
        <v>41</v>
      </c>
      <c r="G42" s="24">
        <v>14125407</v>
      </c>
      <c r="H42" s="24">
        <v>11583519</v>
      </c>
      <c r="I42" s="24">
        <v>993080</v>
      </c>
      <c r="J42" s="38">
        <v>8.5699999999999998E-2</v>
      </c>
    </row>
    <row r="43" spans="1:10" x14ac:dyDescent="0.2">
      <c r="A43" s="35" t="s">
        <v>55</v>
      </c>
      <c r="B43" s="24">
        <v>10</v>
      </c>
      <c r="C43" s="24">
        <v>1913000</v>
      </c>
      <c r="D43" s="24">
        <v>12</v>
      </c>
      <c r="E43" s="24">
        <v>1686018</v>
      </c>
      <c r="F43" s="24">
        <v>8</v>
      </c>
      <c r="G43" s="24">
        <v>1252272</v>
      </c>
      <c r="H43" s="24">
        <v>1099065</v>
      </c>
      <c r="I43" s="24">
        <v>63293</v>
      </c>
      <c r="J43" s="38">
        <v>5.7599999999999998E-2</v>
      </c>
    </row>
    <row r="44" spans="1:10" x14ac:dyDescent="0.2">
      <c r="A44" s="35" t="s">
        <v>56</v>
      </c>
      <c r="B44" s="24">
        <v>26</v>
      </c>
      <c r="C44" s="24">
        <v>24990000</v>
      </c>
      <c r="D44" s="24">
        <v>8</v>
      </c>
      <c r="E44" s="24">
        <v>11729473</v>
      </c>
      <c r="F44" s="24">
        <v>43</v>
      </c>
      <c r="G44" s="24">
        <v>36251890</v>
      </c>
      <c r="H44" s="24">
        <v>28651232</v>
      </c>
      <c r="I44" s="24">
        <v>2754475</v>
      </c>
      <c r="J44" s="38">
        <v>9.6100000000000005E-2</v>
      </c>
    </row>
    <row r="45" spans="1:10" x14ac:dyDescent="0.2">
      <c r="A45" s="35" t="s">
        <v>57</v>
      </c>
      <c r="B45" s="24">
        <v>60</v>
      </c>
      <c r="C45" s="24">
        <v>51180000</v>
      </c>
      <c r="D45" s="24">
        <v>41</v>
      </c>
      <c r="E45" s="24">
        <v>33438174</v>
      </c>
      <c r="F45" s="24">
        <v>109</v>
      </c>
      <c r="G45" s="24">
        <v>85954854</v>
      </c>
      <c r="H45" s="24">
        <v>75044787</v>
      </c>
      <c r="I45" s="24">
        <v>6824086</v>
      </c>
      <c r="J45" s="38">
        <v>9.0899999999999995E-2</v>
      </c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123</v>
      </c>
      <c r="C47" s="25">
        <v>88703000</v>
      </c>
      <c r="D47" s="25">
        <v>133</v>
      </c>
      <c r="E47" s="25">
        <v>92007344</v>
      </c>
      <c r="F47" s="25">
        <v>269</v>
      </c>
      <c r="G47" s="25">
        <v>187464988</v>
      </c>
      <c r="H47" s="25">
        <v>185151954</v>
      </c>
      <c r="I47" s="25">
        <v>18424408</v>
      </c>
      <c r="J47" s="39">
        <v>9.325E-2</v>
      </c>
    </row>
    <row r="48" spans="1:10" x14ac:dyDescent="0.2">
      <c r="A48" s="35" t="s">
        <v>58</v>
      </c>
      <c r="B48" s="24">
        <v>9</v>
      </c>
      <c r="C48" s="24">
        <v>16173557</v>
      </c>
      <c r="D48" s="24">
        <v>24</v>
      </c>
      <c r="E48" s="24">
        <v>41864610</v>
      </c>
      <c r="F48" s="24">
        <v>82</v>
      </c>
      <c r="G48" s="24">
        <v>123706663</v>
      </c>
      <c r="H48" s="24">
        <v>133167572</v>
      </c>
      <c r="I48" s="24">
        <v>9163341</v>
      </c>
      <c r="J48" s="38">
        <v>6.88E-2</v>
      </c>
    </row>
    <row r="49" spans="1:10" ht="24" x14ac:dyDescent="0.2">
      <c r="A49" s="35" t="s">
        <v>59</v>
      </c>
      <c r="B49" s="24">
        <v>0</v>
      </c>
      <c r="C49" s="24">
        <v>0</v>
      </c>
      <c r="D49" s="24">
        <v>2</v>
      </c>
      <c r="E49" s="24">
        <v>5649301</v>
      </c>
      <c r="F49" s="24">
        <v>5</v>
      </c>
      <c r="G49" s="24">
        <v>14461871</v>
      </c>
      <c r="H49" s="24">
        <v>18962628</v>
      </c>
      <c r="I49" s="24">
        <v>1543044</v>
      </c>
      <c r="J49" s="38">
        <v>8.14E-2</v>
      </c>
    </row>
    <row r="50" spans="1:10" ht="24" x14ac:dyDescent="0.2">
      <c r="A50" s="35" t="s">
        <v>88</v>
      </c>
      <c r="B50" s="24">
        <v>1</v>
      </c>
      <c r="C50" s="24">
        <v>23520</v>
      </c>
      <c r="D50" s="24">
        <v>5</v>
      </c>
      <c r="E50" s="24">
        <v>184560</v>
      </c>
      <c r="F50" s="24">
        <v>2</v>
      </c>
      <c r="G50" s="24">
        <v>33200</v>
      </c>
      <c r="H50" s="24">
        <v>126853</v>
      </c>
      <c r="I50" s="24">
        <v>5080</v>
      </c>
      <c r="J50" s="38">
        <v>0.04</v>
      </c>
    </row>
    <row r="51" spans="1:10" x14ac:dyDescent="0.2">
      <c r="A51" s="35" t="s">
        <v>79</v>
      </c>
      <c r="B51" s="24">
        <v>0</v>
      </c>
      <c r="C51" s="24">
        <v>0</v>
      </c>
      <c r="D51" s="24">
        <v>0</v>
      </c>
      <c r="E51" s="24">
        <v>210287</v>
      </c>
      <c r="F51" s="24">
        <v>1</v>
      </c>
      <c r="G51" s="24">
        <v>207828</v>
      </c>
      <c r="H51" s="24">
        <v>305913</v>
      </c>
      <c r="I51" s="24">
        <v>16775</v>
      </c>
      <c r="J51" s="38">
        <v>5.4800000000000001E-2</v>
      </c>
    </row>
    <row r="52" spans="1:10" x14ac:dyDescent="0.2">
      <c r="A52" s="36" t="s">
        <v>73</v>
      </c>
      <c r="B52" s="25">
        <v>10</v>
      </c>
      <c r="C52" s="25">
        <v>16197077</v>
      </c>
      <c r="D52" s="25">
        <v>31</v>
      </c>
      <c r="E52" s="25">
        <v>47908758</v>
      </c>
      <c r="F52" s="25">
        <v>90</v>
      </c>
      <c r="G52" s="25">
        <v>138409562</v>
      </c>
      <c r="H52" s="25">
        <v>152562966</v>
      </c>
      <c r="I52" s="25">
        <v>10728240</v>
      </c>
      <c r="J52" s="39">
        <v>6.1249999999999999E-2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>
        <v>3</v>
      </c>
      <c r="C61" s="24">
        <v>2900000</v>
      </c>
      <c r="D61" s="24">
        <v>9</v>
      </c>
      <c r="E61" s="24">
        <v>5522645</v>
      </c>
      <c r="F61" s="24">
        <v>5</v>
      </c>
      <c r="G61" s="24">
        <v>5093395</v>
      </c>
      <c r="H61" s="24">
        <v>6106133</v>
      </c>
      <c r="I61" s="24">
        <v>304539</v>
      </c>
      <c r="J61" s="38">
        <v>4.99E-2</v>
      </c>
    </row>
    <row r="62" spans="1:10" x14ac:dyDescent="0.2">
      <c r="A62" s="36" t="s">
        <v>73</v>
      </c>
      <c r="B62" s="25">
        <v>3</v>
      </c>
      <c r="C62" s="25">
        <v>2900000</v>
      </c>
      <c r="D62" s="25">
        <v>9</v>
      </c>
      <c r="E62" s="25">
        <v>5522645</v>
      </c>
      <c r="F62" s="25">
        <v>5</v>
      </c>
      <c r="G62" s="25">
        <v>5093395</v>
      </c>
      <c r="H62" s="25">
        <v>6106133</v>
      </c>
      <c r="I62" s="25">
        <v>304539</v>
      </c>
      <c r="J62" s="39">
        <v>4.99E-2</v>
      </c>
    </row>
    <row r="63" spans="1:10" ht="13.5" thickBot="1" x14ac:dyDescent="0.25">
      <c r="A63" s="37" t="s">
        <v>61</v>
      </c>
      <c r="B63" s="40">
        <v>1355</v>
      </c>
      <c r="C63" s="40">
        <v>1598050707</v>
      </c>
      <c r="D63" s="40">
        <v>1323</v>
      </c>
      <c r="E63" s="40">
        <v>1499730898</v>
      </c>
      <c r="F63" s="40">
        <v>2569</v>
      </c>
      <c r="G63" s="40">
        <v>4102242138</v>
      </c>
      <c r="H63" s="40">
        <v>4101011457</v>
      </c>
      <c r="I63" s="40">
        <v>434605769</v>
      </c>
      <c r="J63" s="41">
        <v>0.10597526331173085</v>
      </c>
    </row>
  </sheetData>
  <phoneticPr fontId="2"/>
  <pageMargins left="0.7" right="0.7" top="0.75" bottom="0.75" header="0.3" footer="0.3"/>
  <pageSetup paperSize="9" scale="85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3118A-B6C4-42BC-93A4-A0C16E2C202C}">
  <sheetPr>
    <pageSetUpPr fitToPage="1"/>
  </sheetPr>
  <dimension ref="A1:J63"/>
  <sheetViews>
    <sheetView workbookViewId="0"/>
  </sheetViews>
  <sheetFormatPr defaultRowHeight="13" x14ac:dyDescent="0.2"/>
  <cols>
    <col min="1" max="1" width="15.81640625" style="33" customWidth="1"/>
    <col min="2" max="2" width="5.08984375" style="7" customWidth="1"/>
    <col min="3" max="3" width="14.36328125" style="7" customWidth="1"/>
    <col min="4" max="4" width="5.7265625" style="7" customWidth="1"/>
    <col min="5" max="5" width="11.6328125" style="7" customWidth="1"/>
    <col min="6" max="6" width="5.81640625" style="7" customWidth="1"/>
    <col min="7" max="7" width="11.81640625" style="7" customWidth="1"/>
    <col min="8" max="8" width="13.6328125" style="7" bestFit="1" customWidth="1"/>
    <col min="9" max="9" width="12.08984375" style="7" bestFit="1" customWidth="1"/>
    <col min="10" max="10" width="6.36328125" style="8" customWidth="1"/>
  </cols>
  <sheetData>
    <row r="1" spans="1:10" x14ac:dyDescent="0.2">
      <c r="A1" s="33" t="s">
        <v>0</v>
      </c>
      <c r="B1" s="6" t="s">
        <v>164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>
        <v>0</v>
      </c>
      <c r="C6" s="24">
        <v>0</v>
      </c>
      <c r="D6" s="24">
        <v>12</v>
      </c>
      <c r="E6" s="24">
        <v>6218046</v>
      </c>
      <c r="F6" s="24">
        <v>12</v>
      </c>
      <c r="G6" s="24">
        <v>7457588</v>
      </c>
      <c r="H6" s="24">
        <v>10149219</v>
      </c>
      <c r="I6" s="24">
        <v>1332716</v>
      </c>
      <c r="J6" s="38">
        <v>0.1313</v>
      </c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>
        <v>344</v>
      </c>
      <c r="C8" s="24">
        <v>925760000</v>
      </c>
      <c r="D8" s="24">
        <v>187</v>
      </c>
      <c r="E8" s="24">
        <v>566977718</v>
      </c>
      <c r="F8" s="24">
        <v>1149</v>
      </c>
      <c r="G8" s="24">
        <v>2079838053</v>
      </c>
      <c r="H8" s="24">
        <v>1862754094</v>
      </c>
      <c r="I8" s="24">
        <v>178939468</v>
      </c>
      <c r="J8" s="38">
        <v>9.6100000000000005E-2</v>
      </c>
    </row>
    <row r="9" spans="1:10" x14ac:dyDescent="0.2">
      <c r="A9" s="35" t="s">
        <v>35</v>
      </c>
      <c r="B9" s="24">
        <v>1</v>
      </c>
      <c r="C9" s="24">
        <v>300000</v>
      </c>
      <c r="D9" s="24">
        <v>0</v>
      </c>
      <c r="E9" s="24">
        <v>95905</v>
      </c>
      <c r="F9" s="24">
        <v>1</v>
      </c>
      <c r="G9" s="24">
        <v>204095</v>
      </c>
      <c r="H9" s="24">
        <v>247812</v>
      </c>
      <c r="I9" s="24">
        <v>11138</v>
      </c>
      <c r="J9" s="38">
        <v>4.4900000000000002E-2</v>
      </c>
    </row>
    <row r="10" spans="1:10" x14ac:dyDescent="0.2">
      <c r="A10" s="35" t="s">
        <v>36</v>
      </c>
      <c r="B10" s="24">
        <v>20</v>
      </c>
      <c r="C10" s="24">
        <v>49770000</v>
      </c>
      <c r="D10" s="24">
        <v>12</v>
      </c>
      <c r="E10" s="24">
        <v>37695524</v>
      </c>
      <c r="F10" s="24">
        <v>90</v>
      </c>
      <c r="G10" s="24">
        <v>153645991</v>
      </c>
      <c r="H10" s="24">
        <v>143195978</v>
      </c>
      <c r="I10" s="24">
        <v>17801491</v>
      </c>
      <c r="J10" s="38">
        <v>0.12429999999999999</v>
      </c>
    </row>
    <row r="11" spans="1:10" x14ac:dyDescent="0.2">
      <c r="A11" s="35" t="s">
        <v>37</v>
      </c>
      <c r="B11" s="24">
        <v>113</v>
      </c>
      <c r="C11" s="24">
        <v>333360000</v>
      </c>
      <c r="D11" s="24">
        <v>67</v>
      </c>
      <c r="E11" s="24">
        <v>315617043</v>
      </c>
      <c r="F11" s="24">
        <v>507</v>
      </c>
      <c r="G11" s="24">
        <v>1026753907</v>
      </c>
      <c r="H11" s="24">
        <v>1042743129</v>
      </c>
      <c r="I11" s="24">
        <v>100616990</v>
      </c>
      <c r="J11" s="38">
        <v>9.6500000000000002E-2</v>
      </c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>
        <v>78</v>
      </c>
      <c r="C14" s="24">
        <v>90910000</v>
      </c>
      <c r="D14" s="24">
        <v>47</v>
      </c>
      <c r="E14" s="24">
        <v>58211163</v>
      </c>
      <c r="F14" s="24">
        <v>209</v>
      </c>
      <c r="G14" s="24">
        <v>185993241</v>
      </c>
      <c r="H14" s="24">
        <v>164820993</v>
      </c>
      <c r="I14" s="24">
        <v>17027348</v>
      </c>
      <c r="J14" s="38">
        <v>0.1033</v>
      </c>
    </row>
    <row r="15" spans="1:10" x14ac:dyDescent="0.2">
      <c r="A15" s="35" t="s">
        <v>41</v>
      </c>
      <c r="B15" s="24">
        <v>13</v>
      </c>
      <c r="C15" s="24">
        <v>11040000</v>
      </c>
      <c r="D15" s="24">
        <v>23</v>
      </c>
      <c r="E15" s="24">
        <v>15802894</v>
      </c>
      <c r="F15" s="24">
        <v>45</v>
      </c>
      <c r="G15" s="24">
        <v>34890214</v>
      </c>
      <c r="H15" s="24">
        <v>35957881</v>
      </c>
      <c r="I15" s="24">
        <v>3803811</v>
      </c>
      <c r="J15" s="38">
        <v>0.10580000000000001</v>
      </c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569</v>
      </c>
      <c r="C17" s="25">
        <v>1411140000</v>
      </c>
      <c r="D17" s="25">
        <v>348</v>
      </c>
      <c r="E17" s="25">
        <v>1000618293</v>
      </c>
      <c r="F17" s="25">
        <v>2013</v>
      </c>
      <c r="G17" s="25">
        <v>3488783089</v>
      </c>
      <c r="H17" s="25">
        <v>3259869106</v>
      </c>
      <c r="I17" s="25">
        <v>319532962</v>
      </c>
      <c r="J17" s="39">
        <v>0.10031428571428572</v>
      </c>
    </row>
    <row r="18" spans="1:10" x14ac:dyDescent="0.2">
      <c r="A18" s="35" t="s">
        <v>90</v>
      </c>
      <c r="B18" s="24">
        <v>8</v>
      </c>
      <c r="C18" s="24">
        <v>1034942</v>
      </c>
      <c r="D18" s="24">
        <v>54</v>
      </c>
      <c r="E18" s="24">
        <v>6718842</v>
      </c>
      <c r="F18" s="24">
        <v>27</v>
      </c>
      <c r="G18" s="24">
        <v>1929100</v>
      </c>
      <c r="H18" s="24">
        <v>4140270</v>
      </c>
      <c r="I18" s="24">
        <v>460552</v>
      </c>
      <c r="J18" s="38">
        <v>0.11119999999999999</v>
      </c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15</v>
      </c>
      <c r="C25" s="24">
        <v>13160000</v>
      </c>
      <c r="D25" s="24">
        <v>15</v>
      </c>
      <c r="E25" s="24">
        <v>14142400</v>
      </c>
      <c r="F25" s="24">
        <v>34</v>
      </c>
      <c r="G25" s="24">
        <v>30581500</v>
      </c>
      <c r="H25" s="24">
        <v>31062231</v>
      </c>
      <c r="I25" s="24">
        <v>2087296</v>
      </c>
      <c r="J25" s="38">
        <v>6.7199999999999996E-2</v>
      </c>
    </row>
    <row r="26" spans="1:10" x14ac:dyDescent="0.2">
      <c r="A26" s="35" t="s">
        <v>111</v>
      </c>
      <c r="B26" s="24">
        <v>2</v>
      </c>
      <c r="C26" s="24">
        <v>268857</v>
      </c>
      <c r="D26" s="24">
        <v>2</v>
      </c>
      <c r="E26" s="24">
        <v>514357</v>
      </c>
      <c r="F26" s="24">
        <v>3</v>
      </c>
      <c r="G26" s="24">
        <v>369000</v>
      </c>
      <c r="H26" s="24">
        <v>490547</v>
      </c>
      <c r="I26" s="24">
        <v>58018</v>
      </c>
      <c r="J26" s="38">
        <v>0.1183</v>
      </c>
    </row>
    <row r="27" spans="1:10" ht="24" x14ac:dyDescent="0.2">
      <c r="A27" s="35" t="s">
        <v>91</v>
      </c>
      <c r="B27" s="24">
        <v>54</v>
      </c>
      <c r="C27" s="24">
        <v>24665825</v>
      </c>
      <c r="D27" s="24">
        <v>85</v>
      </c>
      <c r="E27" s="24">
        <v>31028029</v>
      </c>
      <c r="F27" s="24">
        <v>114</v>
      </c>
      <c r="G27" s="24">
        <v>41538110</v>
      </c>
      <c r="H27" s="24">
        <v>45231649</v>
      </c>
      <c r="I27" s="24">
        <v>4548273</v>
      </c>
      <c r="J27" s="38">
        <v>0.10059999999999999</v>
      </c>
    </row>
    <row r="28" spans="1:10" x14ac:dyDescent="0.2">
      <c r="A28" s="35" t="s">
        <v>110</v>
      </c>
      <c r="B28" s="24">
        <v>22</v>
      </c>
      <c r="C28" s="24">
        <v>508200</v>
      </c>
      <c r="D28" s="24">
        <v>23</v>
      </c>
      <c r="E28" s="24">
        <v>818500</v>
      </c>
      <c r="F28" s="24">
        <v>4</v>
      </c>
      <c r="G28" s="24">
        <v>664900</v>
      </c>
      <c r="H28" s="24">
        <v>786846</v>
      </c>
      <c r="I28" s="24">
        <v>94949</v>
      </c>
      <c r="J28" s="38">
        <v>0.1207</v>
      </c>
    </row>
    <row r="29" spans="1:10" x14ac:dyDescent="0.2">
      <c r="A29" s="35" t="s">
        <v>112</v>
      </c>
      <c r="B29" s="24">
        <v>139</v>
      </c>
      <c r="C29" s="24">
        <v>1833700</v>
      </c>
      <c r="D29" s="24">
        <v>147</v>
      </c>
      <c r="E29" s="24">
        <v>2408300</v>
      </c>
      <c r="F29" s="24">
        <v>26</v>
      </c>
      <c r="G29" s="24">
        <v>400400</v>
      </c>
      <c r="H29" s="24">
        <v>692650</v>
      </c>
      <c r="I29" s="24">
        <v>6233</v>
      </c>
      <c r="J29" s="38">
        <v>8.9999999999999993E-3</v>
      </c>
    </row>
    <row r="30" spans="1:10" x14ac:dyDescent="0.2">
      <c r="A30" s="35" t="s">
        <v>113</v>
      </c>
      <c r="B30" s="24">
        <v>225</v>
      </c>
      <c r="C30" s="24">
        <v>965660</v>
      </c>
      <c r="D30" s="24">
        <v>230</v>
      </c>
      <c r="E30" s="24">
        <v>838230</v>
      </c>
      <c r="F30" s="24">
        <v>13</v>
      </c>
      <c r="G30" s="24">
        <v>232800</v>
      </c>
      <c r="H30" s="24">
        <v>155539</v>
      </c>
      <c r="I30" s="24">
        <v>0</v>
      </c>
      <c r="J30" s="38">
        <v>0</v>
      </c>
    </row>
    <row r="31" spans="1:10" x14ac:dyDescent="0.2">
      <c r="A31" s="36" t="s">
        <v>73</v>
      </c>
      <c r="B31" s="25">
        <v>465</v>
      </c>
      <c r="C31" s="25">
        <v>42437184</v>
      </c>
      <c r="D31" s="25">
        <v>556</v>
      </c>
      <c r="E31" s="25">
        <v>56468658</v>
      </c>
      <c r="F31" s="25">
        <v>221</v>
      </c>
      <c r="G31" s="25">
        <v>75715810</v>
      </c>
      <c r="H31" s="25">
        <v>82559732</v>
      </c>
      <c r="I31" s="25">
        <v>7255321</v>
      </c>
      <c r="J31" s="39">
        <v>7.5285714285714289E-2</v>
      </c>
    </row>
    <row r="32" spans="1:10" x14ac:dyDescent="0.2">
      <c r="A32" s="35" t="s">
        <v>50</v>
      </c>
      <c r="B32" s="24">
        <v>3</v>
      </c>
      <c r="C32" s="24">
        <v>24100000</v>
      </c>
      <c r="D32" s="24">
        <v>3</v>
      </c>
      <c r="E32" s="24">
        <v>18277894</v>
      </c>
      <c r="F32" s="24">
        <v>20</v>
      </c>
      <c r="G32" s="24">
        <v>89042814</v>
      </c>
      <c r="H32" s="24">
        <v>85132148</v>
      </c>
      <c r="I32" s="24">
        <v>10921101</v>
      </c>
      <c r="J32" s="38">
        <v>0.1283</v>
      </c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>
        <v>44</v>
      </c>
      <c r="C34" s="24">
        <v>463540100</v>
      </c>
      <c r="D34" s="24">
        <v>36</v>
      </c>
      <c r="E34" s="24">
        <v>408596572</v>
      </c>
      <c r="F34" s="24">
        <v>70</v>
      </c>
      <c r="G34" s="24">
        <v>445708749</v>
      </c>
      <c r="H34" s="24">
        <v>452673360</v>
      </c>
      <c r="I34" s="24">
        <v>61087958</v>
      </c>
      <c r="J34" s="38">
        <v>0.13489999999999999</v>
      </c>
    </row>
    <row r="35" spans="1:10" x14ac:dyDescent="0.2">
      <c r="A35" s="35" t="s">
        <v>52</v>
      </c>
      <c r="B35" s="24">
        <v>12</v>
      </c>
      <c r="C35" s="24">
        <v>110800000</v>
      </c>
      <c r="D35" s="24">
        <v>4</v>
      </c>
      <c r="E35" s="24">
        <v>56398386</v>
      </c>
      <c r="F35" s="24">
        <v>27</v>
      </c>
      <c r="G35" s="24">
        <v>183681212</v>
      </c>
      <c r="H35" s="24">
        <v>164267587</v>
      </c>
      <c r="I35" s="24">
        <v>21119812</v>
      </c>
      <c r="J35" s="38">
        <v>0.12859999999999999</v>
      </c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59</v>
      </c>
      <c r="C38" s="25">
        <v>598440100</v>
      </c>
      <c r="D38" s="25">
        <v>43</v>
      </c>
      <c r="E38" s="25">
        <v>483272852</v>
      </c>
      <c r="F38" s="25">
        <v>117</v>
      </c>
      <c r="G38" s="25">
        <v>718432775</v>
      </c>
      <c r="H38" s="25">
        <v>702073095</v>
      </c>
      <c r="I38" s="25">
        <v>93128871</v>
      </c>
      <c r="J38" s="39">
        <v>0.13059999999999999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>
        <v>0</v>
      </c>
      <c r="C40" s="24">
        <v>0</v>
      </c>
      <c r="D40" s="24">
        <v>16</v>
      </c>
      <c r="E40" s="24">
        <v>8767632</v>
      </c>
      <c r="F40" s="24">
        <v>13</v>
      </c>
      <c r="G40" s="24">
        <v>8507997</v>
      </c>
      <c r="H40" s="24">
        <v>13482524</v>
      </c>
      <c r="I40" s="24">
        <v>1432847</v>
      </c>
      <c r="J40" s="38">
        <v>0.10630000000000001</v>
      </c>
    </row>
    <row r="41" spans="1:10" x14ac:dyDescent="0.2">
      <c r="A41" s="35" t="s">
        <v>53</v>
      </c>
      <c r="B41" s="24">
        <v>1</v>
      </c>
      <c r="C41" s="24">
        <v>120000</v>
      </c>
      <c r="D41" s="24">
        <v>17</v>
      </c>
      <c r="E41" s="24">
        <v>11948500</v>
      </c>
      <c r="F41" s="24">
        <v>23</v>
      </c>
      <c r="G41" s="24">
        <v>20776436</v>
      </c>
      <c r="H41" s="24">
        <v>26320001</v>
      </c>
      <c r="I41" s="24">
        <v>2898259</v>
      </c>
      <c r="J41" s="38">
        <v>0.1101</v>
      </c>
    </row>
    <row r="42" spans="1:10" x14ac:dyDescent="0.2">
      <c r="A42" s="35" t="s">
        <v>54</v>
      </c>
      <c r="B42" s="24">
        <v>35</v>
      </c>
      <c r="C42" s="24">
        <v>14115000</v>
      </c>
      <c r="D42" s="24">
        <v>27</v>
      </c>
      <c r="E42" s="24">
        <v>11580759</v>
      </c>
      <c r="F42" s="24">
        <v>49</v>
      </c>
      <c r="G42" s="24">
        <v>16659648</v>
      </c>
      <c r="H42" s="24">
        <v>14388828</v>
      </c>
      <c r="I42" s="24">
        <v>1218310</v>
      </c>
      <c r="J42" s="38">
        <v>8.4699999999999998E-2</v>
      </c>
    </row>
    <row r="43" spans="1:10" x14ac:dyDescent="0.2">
      <c r="A43" s="35" t="s">
        <v>55</v>
      </c>
      <c r="B43" s="24">
        <v>13</v>
      </c>
      <c r="C43" s="24">
        <v>7240500</v>
      </c>
      <c r="D43" s="24">
        <v>9</v>
      </c>
      <c r="E43" s="24">
        <v>7115597</v>
      </c>
      <c r="F43" s="24">
        <v>12</v>
      </c>
      <c r="G43" s="24">
        <v>1377175</v>
      </c>
      <c r="H43" s="24">
        <v>1924349</v>
      </c>
      <c r="I43" s="24">
        <v>109749</v>
      </c>
      <c r="J43" s="38">
        <v>5.7000000000000002E-2</v>
      </c>
    </row>
    <row r="44" spans="1:10" x14ac:dyDescent="0.2">
      <c r="A44" s="35" t="s">
        <v>56</v>
      </c>
      <c r="B44" s="24">
        <v>31</v>
      </c>
      <c r="C44" s="24">
        <v>32535000</v>
      </c>
      <c r="D44" s="24">
        <v>14</v>
      </c>
      <c r="E44" s="24">
        <v>18301204</v>
      </c>
      <c r="F44" s="24">
        <v>60</v>
      </c>
      <c r="G44" s="24">
        <v>50485686</v>
      </c>
      <c r="H44" s="24">
        <v>43020963</v>
      </c>
      <c r="I44" s="24">
        <v>4131064</v>
      </c>
      <c r="J44" s="38">
        <v>9.6000000000000002E-2</v>
      </c>
    </row>
    <row r="45" spans="1:10" x14ac:dyDescent="0.2">
      <c r="A45" s="35" t="s">
        <v>57</v>
      </c>
      <c r="B45" s="24">
        <v>59</v>
      </c>
      <c r="C45" s="24">
        <v>55890000</v>
      </c>
      <c r="D45" s="24">
        <v>47</v>
      </c>
      <c r="E45" s="24">
        <v>39301240</v>
      </c>
      <c r="F45" s="24">
        <v>121</v>
      </c>
      <c r="G45" s="24">
        <v>102543614</v>
      </c>
      <c r="H45" s="24">
        <v>94310228</v>
      </c>
      <c r="I45" s="24">
        <v>8743594</v>
      </c>
      <c r="J45" s="38">
        <v>9.2700000000000005E-2</v>
      </c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139</v>
      </c>
      <c r="C47" s="25">
        <v>109900500</v>
      </c>
      <c r="D47" s="25">
        <v>130</v>
      </c>
      <c r="E47" s="25">
        <v>97014932</v>
      </c>
      <c r="F47" s="25">
        <v>278</v>
      </c>
      <c r="G47" s="25">
        <v>200350556</v>
      </c>
      <c r="H47" s="25">
        <v>193446893</v>
      </c>
      <c r="I47" s="25">
        <v>18533823</v>
      </c>
      <c r="J47" s="39">
        <v>9.1133333333333344E-2</v>
      </c>
    </row>
    <row r="48" spans="1:10" x14ac:dyDescent="0.2">
      <c r="A48" s="35" t="s">
        <v>58</v>
      </c>
      <c r="B48" s="24">
        <v>13</v>
      </c>
      <c r="C48" s="24">
        <v>20410000</v>
      </c>
      <c r="D48" s="24">
        <v>29</v>
      </c>
      <c r="E48" s="24">
        <v>52591339</v>
      </c>
      <c r="F48" s="24">
        <v>66</v>
      </c>
      <c r="G48" s="24">
        <v>91525324</v>
      </c>
      <c r="H48" s="24">
        <v>101318012</v>
      </c>
      <c r="I48" s="24">
        <v>6962973</v>
      </c>
      <c r="J48" s="38">
        <v>6.8699999999999997E-2</v>
      </c>
    </row>
    <row r="49" spans="1:10" ht="24" x14ac:dyDescent="0.2">
      <c r="A49" s="35" t="s">
        <v>59</v>
      </c>
      <c r="B49" s="24">
        <v>0</v>
      </c>
      <c r="C49" s="24">
        <v>0</v>
      </c>
      <c r="D49" s="24">
        <v>1</v>
      </c>
      <c r="E49" s="24">
        <v>6430037</v>
      </c>
      <c r="F49" s="24">
        <v>4</v>
      </c>
      <c r="G49" s="24">
        <v>8031834</v>
      </c>
      <c r="H49" s="24">
        <v>11782021</v>
      </c>
      <c r="I49" s="24">
        <v>892839</v>
      </c>
      <c r="J49" s="38">
        <v>7.5800000000000006E-2</v>
      </c>
    </row>
    <row r="50" spans="1:10" ht="24" x14ac:dyDescent="0.2">
      <c r="A50" s="35" t="s">
        <v>88</v>
      </c>
      <c r="B50" s="24">
        <v>2</v>
      </c>
      <c r="C50" s="24">
        <v>91440</v>
      </c>
      <c r="D50" s="24">
        <v>2</v>
      </c>
      <c r="E50" s="24">
        <v>96120</v>
      </c>
      <c r="F50" s="24">
        <v>2</v>
      </c>
      <c r="G50" s="24">
        <v>28520</v>
      </c>
      <c r="H50" s="24">
        <v>50560</v>
      </c>
      <c r="I50" s="24">
        <v>4340</v>
      </c>
      <c r="J50" s="38">
        <v>83.58</v>
      </c>
    </row>
    <row r="51" spans="1:10" x14ac:dyDescent="0.2">
      <c r="A51" s="35" t="s">
        <v>79</v>
      </c>
      <c r="B51" s="24">
        <v>0</v>
      </c>
      <c r="C51" s="24">
        <v>0</v>
      </c>
      <c r="D51" s="24">
        <v>1</v>
      </c>
      <c r="E51" s="24">
        <v>207828</v>
      </c>
      <c r="F51" s="24">
        <v>0</v>
      </c>
      <c r="G51" s="24">
        <v>0</v>
      </c>
      <c r="H51" s="24">
        <v>90454</v>
      </c>
      <c r="I51" s="24">
        <v>6050</v>
      </c>
      <c r="J51" s="38">
        <v>6.6900000000000001E-2</v>
      </c>
    </row>
    <row r="52" spans="1:10" x14ac:dyDescent="0.2">
      <c r="A52" s="36" t="s">
        <v>73</v>
      </c>
      <c r="B52" s="25">
        <v>15</v>
      </c>
      <c r="C52" s="25">
        <v>20501440</v>
      </c>
      <c r="D52" s="25">
        <v>33</v>
      </c>
      <c r="E52" s="25">
        <v>59325324</v>
      </c>
      <c r="F52" s="25">
        <v>72</v>
      </c>
      <c r="G52" s="25">
        <v>99585678</v>
      </c>
      <c r="H52" s="25">
        <v>113241047</v>
      </c>
      <c r="I52" s="25">
        <v>7866202</v>
      </c>
      <c r="J52" s="39">
        <v>20.947849999999999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>
        <v>5</v>
      </c>
      <c r="C61" s="24">
        <v>3200000</v>
      </c>
      <c r="D61" s="24">
        <v>5</v>
      </c>
      <c r="E61" s="24">
        <v>5185973</v>
      </c>
      <c r="F61" s="24">
        <v>5</v>
      </c>
      <c r="G61" s="24">
        <v>3107422</v>
      </c>
      <c r="H61" s="24">
        <v>5497092</v>
      </c>
      <c r="I61" s="24">
        <v>265361</v>
      </c>
      <c r="J61" s="38">
        <v>4.8300000000000003E-2</v>
      </c>
    </row>
    <row r="62" spans="1:10" x14ac:dyDescent="0.2">
      <c r="A62" s="36" t="s">
        <v>73</v>
      </c>
      <c r="B62" s="25">
        <v>5</v>
      </c>
      <c r="C62" s="25">
        <v>3200000</v>
      </c>
      <c r="D62" s="25">
        <v>5</v>
      </c>
      <c r="E62" s="25">
        <v>5185973</v>
      </c>
      <c r="F62" s="25">
        <v>5</v>
      </c>
      <c r="G62" s="25">
        <v>3107422</v>
      </c>
      <c r="H62" s="25">
        <v>5497092</v>
      </c>
      <c r="I62" s="25">
        <v>265361</v>
      </c>
      <c r="J62" s="39">
        <v>4.8300000000000003E-2</v>
      </c>
    </row>
    <row r="63" spans="1:10" ht="13.5" thickBot="1" x14ac:dyDescent="0.25">
      <c r="A63" s="37" t="s">
        <v>61</v>
      </c>
      <c r="B63" s="40">
        <v>1252</v>
      </c>
      <c r="C63" s="40">
        <v>2185619224</v>
      </c>
      <c r="D63" s="40">
        <v>1115</v>
      </c>
      <c r="E63" s="40">
        <v>1701886032</v>
      </c>
      <c r="F63" s="40">
        <v>2706</v>
      </c>
      <c r="G63" s="40">
        <v>4585975330</v>
      </c>
      <c r="H63" s="40">
        <v>4356686965</v>
      </c>
      <c r="I63" s="40">
        <v>446582540</v>
      </c>
      <c r="J63" s="41">
        <v>0.10250507864982675</v>
      </c>
    </row>
  </sheetData>
  <phoneticPr fontId="2"/>
  <pageMargins left="0.7" right="0.7" top="0.75" bottom="0.75" header="0.3" footer="0.3"/>
  <pageSetup paperSize="9" scale="87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FD2F3-3479-4639-B5B0-9B48D75CCAAE}">
  <sheetPr>
    <pageSetUpPr fitToPage="1"/>
  </sheetPr>
  <dimension ref="A1:AR163"/>
  <sheetViews>
    <sheetView topLeftCell="A112" zoomScaleNormal="100" zoomScaleSheetLayoutView="90" workbookViewId="0">
      <selection activeCell="O77" activeCellId="1" sqref="A77:A80 O77:Z80"/>
    </sheetView>
  </sheetViews>
  <sheetFormatPr defaultColWidth="9.08984375" defaultRowHeight="12" x14ac:dyDescent="0.2"/>
  <cols>
    <col min="1" max="1" width="15.81640625" style="33" customWidth="1"/>
    <col min="2" max="44" width="16.453125" style="7" customWidth="1"/>
    <col min="45" max="16384" width="9.08984375" style="5"/>
  </cols>
  <sheetData>
    <row r="1" spans="1:44" x14ac:dyDescent="0.2">
      <c r="A1" s="12" t="s">
        <v>233</v>
      </c>
    </row>
    <row r="2" spans="1:44" ht="12.5" thickBot="1" x14ac:dyDescent="0.25">
      <c r="A2" s="5"/>
      <c r="B2" s="6" t="s">
        <v>138</v>
      </c>
      <c r="C2" s="6" t="s">
        <v>139</v>
      </c>
      <c r="D2" s="6" t="s">
        <v>140</v>
      </c>
      <c r="E2" s="6" t="s">
        <v>141</v>
      </c>
      <c r="F2" s="6" t="s">
        <v>142</v>
      </c>
      <c r="G2" s="6" t="s">
        <v>143</v>
      </c>
      <c r="H2" s="6" t="s">
        <v>144</v>
      </c>
      <c r="I2" s="6" t="s">
        <v>145</v>
      </c>
      <c r="J2" s="6" t="s">
        <v>146</v>
      </c>
      <c r="K2" s="6" t="s">
        <v>150</v>
      </c>
      <c r="L2" s="6" t="s">
        <v>151</v>
      </c>
      <c r="M2" s="6" t="s">
        <v>152</v>
      </c>
      <c r="N2" s="6" t="s">
        <v>153</v>
      </c>
      <c r="O2" s="6" t="s">
        <v>154</v>
      </c>
      <c r="P2" s="6" t="s">
        <v>155</v>
      </c>
      <c r="Q2" s="6" t="s">
        <v>156</v>
      </c>
      <c r="R2" s="6" t="s">
        <v>157</v>
      </c>
      <c r="S2" s="6" t="s">
        <v>158</v>
      </c>
      <c r="T2" s="6" t="s">
        <v>159</v>
      </c>
      <c r="U2" s="6" t="s">
        <v>160</v>
      </c>
      <c r="V2" s="6" t="s">
        <v>161</v>
      </c>
      <c r="W2" s="6" t="s">
        <v>162</v>
      </c>
      <c r="X2" s="6" t="s">
        <v>163</v>
      </c>
      <c r="Y2" s="6" t="s">
        <v>164</v>
      </c>
      <c r="Z2" s="6" t="s">
        <v>165</v>
      </c>
      <c r="AA2" s="6" t="s">
        <v>166</v>
      </c>
      <c r="AB2" s="6" t="s">
        <v>167</v>
      </c>
      <c r="AC2" s="6" t="s">
        <v>168</v>
      </c>
      <c r="AD2" s="6" t="s">
        <v>169</v>
      </c>
      <c r="AE2" s="6" t="s">
        <v>170</v>
      </c>
      <c r="AF2" s="6" t="s">
        <v>171</v>
      </c>
      <c r="AG2" s="6" t="s">
        <v>172</v>
      </c>
      <c r="AH2" s="6" t="s">
        <v>173</v>
      </c>
      <c r="AI2" s="6" t="s">
        <v>174</v>
      </c>
      <c r="AJ2" s="6" t="s">
        <v>175</v>
      </c>
      <c r="AK2" s="6" t="s">
        <v>176</v>
      </c>
      <c r="AL2" s="6" t="s">
        <v>177</v>
      </c>
      <c r="AM2" s="6" t="s">
        <v>178</v>
      </c>
      <c r="AN2" s="6" t="s">
        <v>179</v>
      </c>
      <c r="AO2" s="6" t="s">
        <v>180</v>
      </c>
      <c r="AP2" s="6" t="s">
        <v>181</v>
      </c>
      <c r="AQ2" s="6" t="s">
        <v>182</v>
      </c>
      <c r="AR2" s="6" t="s">
        <v>183</v>
      </c>
    </row>
    <row r="3" spans="1:44" x14ac:dyDescent="0.2">
      <c r="A3" s="3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4" x14ac:dyDescent="0.2">
      <c r="A4" s="35" t="s">
        <v>72</v>
      </c>
      <c r="B4" s="24">
        <v>-15</v>
      </c>
      <c r="C4" s="24">
        <v>0</v>
      </c>
      <c r="D4" s="24">
        <v>12</v>
      </c>
      <c r="E4" s="24">
        <v>15</v>
      </c>
      <c r="F4" s="24">
        <v>11</v>
      </c>
      <c r="G4" s="24">
        <v>7</v>
      </c>
      <c r="H4" s="24">
        <v>10</v>
      </c>
      <c r="I4" s="24">
        <v>24</v>
      </c>
      <c r="J4" s="24">
        <v>23</v>
      </c>
      <c r="K4" s="24">
        <v>-4</v>
      </c>
      <c r="L4" s="24">
        <v>-27</v>
      </c>
      <c r="M4" s="24">
        <v>-30</v>
      </c>
      <c r="N4" s="24">
        <v>-30</v>
      </c>
      <c r="O4" s="24">
        <v>24</v>
      </c>
      <c r="P4" s="24">
        <v>80</v>
      </c>
      <c r="Q4" s="24">
        <v>135</v>
      </c>
      <c r="R4" s="24">
        <v>208</v>
      </c>
      <c r="S4" s="24">
        <v>159</v>
      </c>
      <c r="T4" s="24">
        <v>159</v>
      </c>
      <c r="U4" s="24">
        <v>146</v>
      </c>
      <c r="V4" s="24">
        <v>325</v>
      </c>
      <c r="W4" s="24">
        <v>279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0</v>
      </c>
      <c r="AP4" s="24">
        <v>0</v>
      </c>
      <c r="AQ4" s="24">
        <v>0</v>
      </c>
      <c r="AR4" s="24">
        <v>0</v>
      </c>
    </row>
    <row r="5" spans="1:44" x14ac:dyDescent="0.2">
      <c r="A5" s="35" t="s">
        <v>109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/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-15</v>
      </c>
      <c r="Y5" s="24">
        <v>-12</v>
      </c>
      <c r="Z5" s="24">
        <v>-2</v>
      </c>
      <c r="AA5" s="24">
        <v>-4</v>
      </c>
      <c r="AB5" s="24">
        <v>-1</v>
      </c>
      <c r="AC5" s="24">
        <v>-2</v>
      </c>
      <c r="AD5" s="24">
        <v>-1</v>
      </c>
      <c r="AE5" s="24">
        <v>-1</v>
      </c>
      <c r="AF5" s="24">
        <v>-1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</row>
    <row r="6" spans="1:44" ht="24" x14ac:dyDescent="0.2">
      <c r="A6" s="35" t="s">
        <v>33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/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65</v>
      </c>
      <c r="AL6" s="24">
        <v>-19</v>
      </c>
      <c r="AM6" s="24">
        <v>-16</v>
      </c>
      <c r="AN6" s="24">
        <v>-12</v>
      </c>
      <c r="AO6" s="24">
        <v>-7</v>
      </c>
      <c r="AP6" s="24">
        <v>-5</v>
      </c>
      <c r="AQ6" s="24">
        <v>-2</v>
      </c>
      <c r="AR6" s="24">
        <v>0</v>
      </c>
    </row>
    <row r="7" spans="1:44" x14ac:dyDescent="0.2">
      <c r="A7" s="35" t="s">
        <v>34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/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80</v>
      </c>
      <c r="Y7" s="24">
        <v>157</v>
      </c>
      <c r="Z7" s="24">
        <v>215</v>
      </c>
      <c r="AA7" s="24">
        <v>335</v>
      </c>
      <c r="AB7" s="24">
        <v>318</v>
      </c>
      <c r="AC7" s="24">
        <v>360</v>
      </c>
      <c r="AD7" s="24">
        <v>231</v>
      </c>
      <c r="AE7" s="24">
        <v>94</v>
      </c>
      <c r="AF7" s="24">
        <v>102</v>
      </c>
      <c r="AG7" s="24">
        <v>8</v>
      </c>
      <c r="AH7" s="24">
        <v>-114</v>
      </c>
      <c r="AI7" s="24">
        <v>-262</v>
      </c>
      <c r="AJ7" s="24">
        <v>-171</v>
      </c>
      <c r="AK7" s="24">
        <v>-230</v>
      </c>
      <c r="AL7" s="24">
        <v>-238</v>
      </c>
      <c r="AM7" s="24">
        <v>-260</v>
      </c>
      <c r="AN7" s="24">
        <v>-153</v>
      </c>
      <c r="AO7" s="24">
        <v>-140</v>
      </c>
      <c r="AP7" s="24">
        <v>-121</v>
      </c>
      <c r="AQ7" s="24">
        <v>-119</v>
      </c>
      <c r="AR7" s="24">
        <v>-78</v>
      </c>
    </row>
    <row r="8" spans="1:44" x14ac:dyDescent="0.2">
      <c r="A8" s="35" t="s">
        <v>35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/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1</v>
      </c>
      <c r="Z8" s="24">
        <v>0</v>
      </c>
      <c r="AA8" s="24">
        <v>-1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</row>
    <row r="9" spans="1:44" x14ac:dyDescent="0.2">
      <c r="A9" s="35" t="s">
        <v>36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/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-10</v>
      </c>
      <c r="Y9" s="24">
        <v>8</v>
      </c>
      <c r="Z9" s="24">
        <v>3</v>
      </c>
      <c r="AA9" s="24">
        <v>-4</v>
      </c>
      <c r="AB9" s="24">
        <v>-15</v>
      </c>
      <c r="AC9" s="24">
        <v>-11</v>
      </c>
      <c r="AD9" s="24">
        <v>-8</v>
      </c>
      <c r="AE9" s="24">
        <v>-9</v>
      </c>
      <c r="AF9" s="24">
        <v>-11</v>
      </c>
      <c r="AG9" s="24">
        <v>-10</v>
      </c>
      <c r="AH9" s="24">
        <v>-5</v>
      </c>
      <c r="AI9" s="24">
        <v>89</v>
      </c>
      <c r="AJ9" s="24">
        <v>-11</v>
      </c>
      <c r="AK9" s="24">
        <v>89</v>
      </c>
      <c r="AL9" s="24">
        <v>-22</v>
      </c>
      <c r="AM9" s="24">
        <v>-24</v>
      </c>
      <c r="AN9" s="24">
        <v>-24</v>
      </c>
      <c r="AO9" s="24">
        <v>-22</v>
      </c>
      <c r="AP9" s="24">
        <v>-21</v>
      </c>
      <c r="AQ9" s="24">
        <v>-26</v>
      </c>
      <c r="AR9" s="24">
        <v>-13</v>
      </c>
    </row>
    <row r="10" spans="1:44" x14ac:dyDescent="0.2">
      <c r="A10" s="35" t="s">
        <v>37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/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80</v>
      </c>
      <c r="Y10" s="24">
        <v>46</v>
      </c>
      <c r="Z10" s="24">
        <v>178</v>
      </c>
      <c r="AA10" s="24">
        <v>22</v>
      </c>
      <c r="AB10" s="24">
        <v>63</v>
      </c>
      <c r="AC10" s="24">
        <v>35</v>
      </c>
      <c r="AD10" s="24">
        <v>17</v>
      </c>
      <c r="AE10" s="24">
        <v>-45</v>
      </c>
      <c r="AF10" s="24">
        <v>-48</v>
      </c>
      <c r="AG10" s="24">
        <v>-22</v>
      </c>
      <c r="AH10" s="24">
        <v>-74</v>
      </c>
      <c r="AI10" s="24">
        <v>-126</v>
      </c>
      <c r="AJ10" s="24">
        <v>-23</v>
      </c>
      <c r="AK10" s="24">
        <v>-100</v>
      </c>
      <c r="AL10" s="24">
        <v>-86</v>
      </c>
      <c r="AM10" s="24">
        <v>-66</v>
      </c>
      <c r="AN10" s="24">
        <v>-44</v>
      </c>
      <c r="AO10" s="24">
        <v>-30</v>
      </c>
      <c r="AP10" s="24">
        <v>-22</v>
      </c>
      <c r="AQ10" s="24">
        <v>-28</v>
      </c>
      <c r="AR10" s="24">
        <v>-10</v>
      </c>
    </row>
    <row r="11" spans="1:44" x14ac:dyDescent="0.2">
      <c r="A11" s="35" t="s">
        <v>38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/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6</v>
      </c>
      <c r="AI11" s="24">
        <v>69</v>
      </c>
      <c r="AJ11" s="24">
        <v>191</v>
      </c>
      <c r="AK11" s="24">
        <v>137</v>
      </c>
      <c r="AL11" s="24">
        <v>95</v>
      </c>
      <c r="AM11" s="24">
        <v>47</v>
      </c>
      <c r="AN11" s="24">
        <v>41</v>
      </c>
      <c r="AO11" s="24">
        <v>33</v>
      </c>
      <c r="AP11" s="24">
        <v>-51</v>
      </c>
      <c r="AQ11" s="24">
        <v>-36</v>
      </c>
      <c r="AR11" s="24">
        <v>-69</v>
      </c>
    </row>
    <row r="12" spans="1:44" x14ac:dyDescent="0.2">
      <c r="A12" s="35" t="s">
        <v>39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/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24</v>
      </c>
      <c r="AK12" s="24">
        <v>57</v>
      </c>
      <c r="AL12" s="24">
        <v>80</v>
      </c>
      <c r="AM12" s="24">
        <v>-21</v>
      </c>
      <c r="AN12" s="24">
        <v>5</v>
      </c>
      <c r="AO12" s="24">
        <v>-19</v>
      </c>
      <c r="AP12" s="24">
        <v>-37</v>
      </c>
      <c r="AQ12" s="24">
        <v>-27</v>
      </c>
      <c r="AR12" s="24">
        <v>-7</v>
      </c>
    </row>
    <row r="13" spans="1:44" x14ac:dyDescent="0.2">
      <c r="A13" s="35" t="s">
        <v>40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/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38</v>
      </c>
      <c r="Y13" s="24">
        <v>31</v>
      </c>
      <c r="Z13" s="24">
        <v>27</v>
      </c>
      <c r="AA13" s="24">
        <v>-21</v>
      </c>
      <c r="AB13" s="24">
        <v>-28</v>
      </c>
      <c r="AC13" s="24">
        <v>-13</v>
      </c>
      <c r="AD13" s="24">
        <v>-3</v>
      </c>
      <c r="AE13" s="24">
        <v>-7</v>
      </c>
      <c r="AF13" s="24">
        <v>1</v>
      </c>
      <c r="AG13" s="24">
        <v>-65</v>
      </c>
      <c r="AH13" s="24">
        <v>-37</v>
      </c>
      <c r="AI13" s="24">
        <v>-30</v>
      </c>
      <c r="AJ13" s="24">
        <v>-12</v>
      </c>
      <c r="AK13" s="24">
        <v>-7</v>
      </c>
      <c r="AL13" s="24">
        <v>-6</v>
      </c>
      <c r="AM13" s="24">
        <v>-1</v>
      </c>
      <c r="AN13" s="24">
        <v>-1</v>
      </c>
      <c r="AO13" s="24">
        <v>-4</v>
      </c>
      <c r="AP13" s="24">
        <v>-2</v>
      </c>
      <c r="AQ13" s="24">
        <v>0</v>
      </c>
      <c r="AR13" s="24">
        <v>0</v>
      </c>
    </row>
    <row r="14" spans="1:44" x14ac:dyDescent="0.2">
      <c r="A14" s="35" t="s">
        <v>41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/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3</v>
      </c>
      <c r="Y14" s="24">
        <v>-10</v>
      </c>
      <c r="Z14" s="24">
        <v>1</v>
      </c>
      <c r="AA14" s="24">
        <v>3</v>
      </c>
      <c r="AB14" s="24">
        <v>-9</v>
      </c>
      <c r="AC14" s="24">
        <v>-4</v>
      </c>
      <c r="AD14" s="24">
        <v>6</v>
      </c>
      <c r="AE14" s="24">
        <v>-3</v>
      </c>
      <c r="AF14" s="24">
        <v>2</v>
      </c>
      <c r="AG14" s="24">
        <v>-17</v>
      </c>
      <c r="AH14" s="24">
        <v>-7</v>
      </c>
      <c r="AI14" s="24">
        <v>-3</v>
      </c>
      <c r="AJ14" s="24">
        <v>-6</v>
      </c>
      <c r="AK14" s="24">
        <v>-6</v>
      </c>
      <c r="AL14" s="24">
        <v>0</v>
      </c>
      <c r="AM14" s="24">
        <v>0</v>
      </c>
      <c r="AN14" s="24">
        <v>-1</v>
      </c>
      <c r="AO14" s="24">
        <v>0</v>
      </c>
      <c r="AP14" s="24">
        <v>0</v>
      </c>
      <c r="AQ14" s="24">
        <v>0</v>
      </c>
      <c r="AR14" s="24">
        <v>0</v>
      </c>
    </row>
    <row r="15" spans="1:44" x14ac:dyDescent="0.2">
      <c r="A15" s="35" t="s">
        <v>42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/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67</v>
      </c>
      <c r="AB15" s="24">
        <v>81</v>
      </c>
      <c r="AC15" s="24">
        <v>58</v>
      </c>
      <c r="AD15" s="24">
        <v>14</v>
      </c>
      <c r="AE15" s="24">
        <v>-10</v>
      </c>
      <c r="AF15" s="24">
        <v>-26</v>
      </c>
      <c r="AG15" s="24">
        <v>-51</v>
      </c>
      <c r="AH15" s="24">
        <v>-37</v>
      </c>
      <c r="AI15" s="24">
        <v>-34</v>
      </c>
      <c r="AJ15" s="24">
        <v>-16</v>
      </c>
      <c r="AK15" s="24">
        <v>-14</v>
      </c>
      <c r="AL15" s="24">
        <v>-8</v>
      </c>
      <c r="AM15" s="24">
        <v>-11</v>
      </c>
      <c r="AN15" s="24">
        <v>-7</v>
      </c>
      <c r="AO15" s="24">
        <v>-1</v>
      </c>
      <c r="AP15" s="24">
        <v>0</v>
      </c>
      <c r="AQ15" s="24">
        <v>0</v>
      </c>
      <c r="AR15" s="24">
        <v>-2</v>
      </c>
    </row>
    <row r="16" spans="1:44" s="26" customFormat="1" x14ac:dyDescent="0.2">
      <c r="A16" s="36" t="s">
        <v>73</v>
      </c>
      <c r="B16" s="25">
        <v>-15</v>
      </c>
      <c r="C16" s="25">
        <v>0</v>
      </c>
      <c r="D16" s="25">
        <v>12</v>
      </c>
      <c r="E16" s="25">
        <v>15</v>
      </c>
      <c r="F16" s="25">
        <v>11</v>
      </c>
      <c r="G16" s="25">
        <v>7</v>
      </c>
      <c r="H16" s="25">
        <v>10</v>
      </c>
      <c r="I16" s="25">
        <v>24</v>
      </c>
      <c r="J16" s="25">
        <v>23</v>
      </c>
      <c r="K16" s="25">
        <v>-4</v>
      </c>
      <c r="L16" s="25">
        <v>-27</v>
      </c>
      <c r="M16" s="25">
        <v>-30</v>
      </c>
      <c r="N16" s="25">
        <v>-30</v>
      </c>
      <c r="O16" s="25">
        <v>24</v>
      </c>
      <c r="P16" s="25">
        <v>80</v>
      </c>
      <c r="Q16" s="25">
        <v>135</v>
      </c>
      <c r="R16" s="25">
        <v>208</v>
      </c>
      <c r="S16" s="25">
        <v>159</v>
      </c>
      <c r="T16" s="25">
        <v>159</v>
      </c>
      <c r="U16" s="25">
        <v>146</v>
      </c>
      <c r="V16" s="25">
        <v>325</v>
      </c>
      <c r="W16" s="25">
        <v>279</v>
      </c>
      <c r="X16" s="25">
        <v>176</v>
      </c>
      <c r="Y16" s="25">
        <v>221</v>
      </c>
      <c r="Z16" s="25">
        <v>422</v>
      </c>
      <c r="AA16" s="25">
        <v>397</v>
      </c>
      <c r="AB16" s="25">
        <v>409</v>
      </c>
      <c r="AC16" s="25">
        <v>423</v>
      </c>
      <c r="AD16" s="25">
        <v>256</v>
      </c>
      <c r="AE16" s="25">
        <v>19</v>
      </c>
      <c r="AF16" s="25">
        <v>19</v>
      </c>
      <c r="AG16" s="25">
        <v>-157</v>
      </c>
      <c r="AH16" s="25">
        <v>-268</v>
      </c>
      <c r="AI16" s="25">
        <v>-297</v>
      </c>
      <c r="AJ16" s="25">
        <v>-24</v>
      </c>
      <c r="AK16" s="25">
        <v>-9</v>
      </c>
      <c r="AL16" s="25">
        <v>-204</v>
      </c>
      <c r="AM16" s="25">
        <v>-352</v>
      </c>
      <c r="AN16" s="25">
        <v>-196</v>
      </c>
      <c r="AO16" s="25">
        <v>-190</v>
      </c>
      <c r="AP16" s="25">
        <v>-259</v>
      </c>
      <c r="AQ16" s="25">
        <v>-238</v>
      </c>
      <c r="AR16" s="25">
        <v>-179</v>
      </c>
    </row>
    <row r="17" spans="1:44" x14ac:dyDescent="0.2">
      <c r="A17" s="35" t="s">
        <v>90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/>
      <c r="I17" s="24">
        <v>0</v>
      </c>
      <c r="J17" s="24">
        <v>0</v>
      </c>
      <c r="K17" s="24">
        <v>69</v>
      </c>
      <c r="L17" s="24">
        <v>211</v>
      </c>
      <c r="M17" s="24">
        <v>397</v>
      </c>
      <c r="N17" s="24">
        <v>-211</v>
      </c>
      <c r="O17" s="24">
        <v>424</v>
      </c>
      <c r="P17" s="24">
        <v>-256</v>
      </c>
      <c r="Q17" s="24">
        <v>3</v>
      </c>
      <c r="R17" s="24">
        <v>-33</v>
      </c>
      <c r="S17" s="24">
        <v>366</v>
      </c>
      <c r="T17" s="24">
        <v>-646</v>
      </c>
      <c r="U17" s="24">
        <v>-60</v>
      </c>
      <c r="V17" s="24">
        <v>-16</v>
      </c>
      <c r="W17" s="24">
        <v>-99</v>
      </c>
      <c r="X17" s="24">
        <v>-42</v>
      </c>
      <c r="Y17" s="24">
        <v>-46</v>
      </c>
      <c r="Z17" s="24">
        <v>-19</v>
      </c>
      <c r="AA17" s="24">
        <v>-7</v>
      </c>
      <c r="AB17" s="24">
        <v>-1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</row>
    <row r="18" spans="1:44" x14ac:dyDescent="0.2">
      <c r="A18" s="35" t="s">
        <v>43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/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2</v>
      </c>
      <c r="AE18" s="24">
        <v>6</v>
      </c>
      <c r="AF18" s="24">
        <v>3</v>
      </c>
      <c r="AG18" s="24">
        <v>-6</v>
      </c>
      <c r="AH18" s="24">
        <v>0</v>
      </c>
      <c r="AI18" s="24">
        <v>-1</v>
      </c>
      <c r="AJ18" s="24">
        <v>-2</v>
      </c>
      <c r="AK18" s="24">
        <v>-1</v>
      </c>
      <c r="AL18" s="24">
        <v>0</v>
      </c>
      <c r="AM18" s="24">
        <v>0</v>
      </c>
      <c r="AN18" s="24">
        <v>0</v>
      </c>
      <c r="AO18" s="24">
        <v>-1</v>
      </c>
      <c r="AP18" s="24">
        <v>0</v>
      </c>
      <c r="AQ18" s="24">
        <v>0</v>
      </c>
      <c r="AR18" s="24">
        <v>0</v>
      </c>
    </row>
    <row r="19" spans="1:44" x14ac:dyDescent="0.2">
      <c r="A19" s="35" t="s">
        <v>44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/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-11</v>
      </c>
      <c r="AK19" s="24">
        <v>-2</v>
      </c>
      <c r="AL19" s="24">
        <v>0</v>
      </c>
      <c r="AM19" s="24">
        <v>0</v>
      </c>
      <c r="AN19" s="24">
        <v>-1</v>
      </c>
      <c r="AO19" s="24">
        <v>-1</v>
      </c>
      <c r="AP19" s="24">
        <v>0</v>
      </c>
      <c r="AQ19" s="24">
        <v>0</v>
      </c>
      <c r="AR19" s="24">
        <v>0</v>
      </c>
    </row>
    <row r="20" spans="1:44" x14ac:dyDescent="0.2">
      <c r="A20" s="35" t="s">
        <v>45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/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9</v>
      </c>
      <c r="AE20" s="24">
        <v>7</v>
      </c>
      <c r="AF20" s="24">
        <v>10</v>
      </c>
      <c r="AG20" s="24">
        <v>-6</v>
      </c>
      <c r="AH20" s="24">
        <v>26</v>
      </c>
      <c r="AI20" s="24">
        <v>18</v>
      </c>
      <c r="AJ20" s="24">
        <v>-3</v>
      </c>
      <c r="AK20" s="24">
        <v>-6</v>
      </c>
      <c r="AL20" s="24">
        <v>1</v>
      </c>
      <c r="AM20" s="24">
        <v>-11</v>
      </c>
      <c r="AN20" s="24">
        <v>-9</v>
      </c>
      <c r="AO20" s="24">
        <v>-2</v>
      </c>
      <c r="AP20" s="24">
        <v>-5</v>
      </c>
      <c r="AQ20" s="24">
        <v>-5</v>
      </c>
      <c r="AR20" s="24">
        <v>-11</v>
      </c>
    </row>
    <row r="21" spans="1:44" x14ac:dyDescent="0.2">
      <c r="A21" s="35" t="s">
        <v>46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/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1</v>
      </c>
      <c r="AE21" s="24">
        <v>1</v>
      </c>
      <c r="AF21" s="24">
        <v>1</v>
      </c>
      <c r="AG21" s="24">
        <v>0</v>
      </c>
      <c r="AH21" s="24">
        <v>-1</v>
      </c>
      <c r="AI21" s="24">
        <v>-1</v>
      </c>
      <c r="AJ21" s="24">
        <v>-1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</row>
    <row r="22" spans="1:44" ht="24" x14ac:dyDescent="0.2">
      <c r="A22" s="35" t="s">
        <v>47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/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193</v>
      </c>
      <c r="AH22" s="24">
        <v>93</v>
      </c>
      <c r="AI22" s="24">
        <v>-21</v>
      </c>
      <c r="AJ22" s="24">
        <v>-83</v>
      </c>
      <c r="AK22" s="24">
        <v>-75</v>
      </c>
      <c r="AL22" s="24">
        <v>-42</v>
      </c>
      <c r="AM22" s="24">
        <v>-17</v>
      </c>
      <c r="AN22" s="24">
        <v>0</v>
      </c>
      <c r="AO22" s="24">
        <v>-6</v>
      </c>
      <c r="AP22" s="24">
        <v>3</v>
      </c>
      <c r="AQ22" s="24">
        <v>-1</v>
      </c>
      <c r="AR22" s="24">
        <v>1</v>
      </c>
    </row>
    <row r="23" spans="1:44" x14ac:dyDescent="0.2">
      <c r="A23" s="35" t="s">
        <v>48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1</v>
      </c>
      <c r="AE23" s="24">
        <v>1</v>
      </c>
      <c r="AF23" s="24">
        <v>3</v>
      </c>
      <c r="AG23" s="24">
        <v>-2</v>
      </c>
      <c r="AH23" s="24">
        <v>-2</v>
      </c>
      <c r="AI23" s="24">
        <v>-1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</row>
    <row r="24" spans="1:44" x14ac:dyDescent="0.2">
      <c r="A24" s="35" t="s">
        <v>49</v>
      </c>
      <c r="B24" s="24">
        <v>0</v>
      </c>
      <c r="C24" s="24">
        <v>0</v>
      </c>
      <c r="D24" s="24">
        <v>0</v>
      </c>
      <c r="E24" s="24">
        <v>0</v>
      </c>
      <c r="F24" s="24">
        <v>3750</v>
      </c>
      <c r="G24" s="24">
        <v>1874</v>
      </c>
      <c r="H24" s="24">
        <v>2202</v>
      </c>
      <c r="I24" s="24">
        <v>-102</v>
      </c>
      <c r="J24" s="24">
        <v>293</v>
      </c>
      <c r="K24" s="24">
        <v>12</v>
      </c>
      <c r="L24" s="24">
        <v>-19</v>
      </c>
      <c r="M24" s="24">
        <v>-5</v>
      </c>
      <c r="N24" s="24">
        <v>105</v>
      </c>
      <c r="O24" s="24">
        <v>32</v>
      </c>
      <c r="P24" s="24">
        <v>12</v>
      </c>
      <c r="Q24" s="24">
        <v>-21</v>
      </c>
      <c r="R24" s="24">
        <v>-57</v>
      </c>
      <c r="S24" s="24">
        <v>-74</v>
      </c>
      <c r="T24" s="24">
        <v>-55</v>
      </c>
      <c r="U24" s="24">
        <v>-34</v>
      </c>
      <c r="V24" s="24">
        <v>-28</v>
      </c>
      <c r="W24" s="24">
        <v>-24</v>
      </c>
      <c r="X24" s="24">
        <v>-5</v>
      </c>
      <c r="Y24" s="24">
        <v>0</v>
      </c>
      <c r="Z24" s="24">
        <v>3</v>
      </c>
      <c r="AA24" s="24">
        <v>12</v>
      </c>
      <c r="AB24" s="24">
        <v>-4</v>
      </c>
      <c r="AC24" s="24">
        <v>0</v>
      </c>
      <c r="AD24" s="24">
        <v>4</v>
      </c>
      <c r="AE24" s="24">
        <v>6</v>
      </c>
      <c r="AF24" s="24">
        <v>3</v>
      </c>
      <c r="AG24" s="24">
        <v>-18</v>
      </c>
      <c r="AH24" s="24">
        <v>47</v>
      </c>
      <c r="AI24" s="24">
        <v>55</v>
      </c>
      <c r="AJ24" s="24">
        <v>55</v>
      </c>
      <c r="AK24" s="24">
        <v>42</v>
      </c>
      <c r="AL24" s="24">
        <v>22</v>
      </c>
      <c r="AM24" s="24">
        <v>-16</v>
      </c>
      <c r="AN24" s="24">
        <v>-21</v>
      </c>
      <c r="AO24" s="24">
        <v>-6</v>
      </c>
      <c r="AP24" s="24">
        <v>-24</v>
      </c>
      <c r="AQ24" s="24">
        <v>-18</v>
      </c>
      <c r="AR24" s="24">
        <v>-25</v>
      </c>
    </row>
    <row r="25" spans="1:44" x14ac:dyDescent="0.2">
      <c r="A25" s="35" t="s">
        <v>111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/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-15</v>
      </c>
      <c r="Y25" s="24">
        <v>0</v>
      </c>
      <c r="Z25" s="24">
        <v>1</v>
      </c>
      <c r="AA25" s="24">
        <v>-3</v>
      </c>
      <c r="AB25" s="24">
        <v>-1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</row>
    <row r="26" spans="1:44" ht="24" x14ac:dyDescent="0.2">
      <c r="A26" s="35" t="s">
        <v>91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/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-4</v>
      </c>
      <c r="Y26" s="24">
        <v>-31</v>
      </c>
      <c r="Z26" s="24">
        <v>-7</v>
      </c>
      <c r="AA26" s="24">
        <v>-11</v>
      </c>
      <c r="AB26" s="24">
        <v>-14</v>
      </c>
      <c r="AC26" s="24">
        <v>-11</v>
      </c>
      <c r="AD26" s="24">
        <v>-6</v>
      </c>
      <c r="AE26" s="24">
        <v>-7</v>
      </c>
      <c r="AF26" s="24">
        <v>-8</v>
      </c>
      <c r="AG26" s="24">
        <v>-18</v>
      </c>
      <c r="AH26" s="24">
        <v>-5</v>
      </c>
      <c r="AI26" s="24">
        <v>-12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</row>
    <row r="27" spans="1:44" x14ac:dyDescent="0.2">
      <c r="A27" s="35" t="s">
        <v>110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/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-8</v>
      </c>
      <c r="Y27" s="24">
        <v>-1</v>
      </c>
      <c r="Z27" s="24">
        <v>-1</v>
      </c>
      <c r="AA27" s="24">
        <v>-1</v>
      </c>
      <c r="AB27" s="24">
        <v>-1</v>
      </c>
      <c r="AC27" s="24">
        <v>-1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</row>
    <row r="28" spans="1:44" x14ac:dyDescent="0.2">
      <c r="A28" s="35" t="s">
        <v>112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/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-21</v>
      </c>
      <c r="Y28" s="24">
        <v>-8</v>
      </c>
      <c r="Z28" s="24">
        <v>-18</v>
      </c>
      <c r="AA28" s="24">
        <v>-7</v>
      </c>
      <c r="AB28" s="24">
        <v>-1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</row>
    <row r="29" spans="1:44" x14ac:dyDescent="0.2">
      <c r="A29" s="35" t="s">
        <v>113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/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-5</v>
      </c>
      <c r="Z29" s="24">
        <v>-9</v>
      </c>
      <c r="AA29" s="24">
        <v>-4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</row>
    <row r="30" spans="1:44" s="26" customFormat="1" x14ac:dyDescent="0.2">
      <c r="A30" s="36" t="s">
        <v>73</v>
      </c>
      <c r="B30" s="25">
        <v>0</v>
      </c>
      <c r="C30" s="25">
        <v>0</v>
      </c>
      <c r="D30" s="25">
        <v>0</v>
      </c>
      <c r="E30" s="25">
        <v>0</v>
      </c>
      <c r="F30" s="25">
        <v>3750</v>
      </c>
      <c r="G30" s="25">
        <v>1874</v>
      </c>
      <c r="H30" s="25">
        <v>2202</v>
      </c>
      <c r="I30" s="25">
        <v>-102</v>
      </c>
      <c r="J30" s="25">
        <v>293</v>
      </c>
      <c r="K30" s="25">
        <v>81</v>
      </c>
      <c r="L30" s="25">
        <v>192</v>
      </c>
      <c r="M30" s="25">
        <v>392</v>
      </c>
      <c r="N30" s="25">
        <v>-106</v>
      </c>
      <c r="O30" s="25">
        <v>456</v>
      </c>
      <c r="P30" s="25">
        <v>-244</v>
      </c>
      <c r="Q30" s="25">
        <v>-18</v>
      </c>
      <c r="R30" s="25">
        <v>-90</v>
      </c>
      <c r="S30" s="25">
        <v>292</v>
      </c>
      <c r="T30" s="25">
        <v>-701</v>
      </c>
      <c r="U30" s="25">
        <v>-94</v>
      </c>
      <c r="V30" s="25">
        <v>-44</v>
      </c>
      <c r="W30" s="25">
        <v>-123</v>
      </c>
      <c r="X30" s="25">
        <v>-95</v>
      </c>
      <c r="Y30" s="25">
        <v>-91</v>
      </c>
      <c r="Z30" s="25">
        <v>-50</v>
      </c>
      <c r="AA30" s="25">
        <v>-21</v>
      </c>
      <c r="AB30" s="25">
        <v>-22</v>
      </c>
      <c r="AC30" s="25">
        <v>-12</v>
      </c>
      <c r="AD30" s="25">
        <v>11</v>
      </c>
      <c r="AE30" s="25">
        <v>14</v>
      </c>
      <c r="AF30" s="25">
        <v>12</v>
      </c>
      <c r="AG30" s="25">
        <v>143</v>
      </c>
      <c r="AH30" s="25">
        <v>158</v>
      </c>
      <c r="AI30" s="25">
        <v>37</v>
      </c>
      <c r="AJ30" s="25">
        <v>-45</v>
      </c>
      <c r="AK30" s="25">
        <v>-42</v>
      </c>
      <c r="AL30" s="25">
        <v>-19</v>
      </c>
      <c r="AM30" s="25">
        <v>-44</v>
      </c>
      <c r="AN30" s="25">
        <v>-31</v>
      </c>
      <c r="AO30" s="25">
        <v>-16</v>
      </c>
      <c r="AP30" s="25">
        <v>-26</v>
      </c>
      <c r="AQ30" s="25">
        <v>-24</v>
      </c>
      <c r="AR30" s="25">
        <v>-35</v>
      </c>
    </row>
    <row r="31" spans="1:44" x14ac:dyDescent="0.2">
      <c r="A31" s="35" t="s">
        <v>50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/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20</v>
      </c>
      <c r="AC31" s="24">
        <v>24</v>
      </c>
      <c r="AD31" s="24">
        <v>44</v>
      </c>
      <c r="AE31" s="24">
        <v>37</v>
      </c>
      <c r="AF31" s="24">
        <v>7</v>
      </c>
      <c r="AG31" s="24">
        <v>2</v>
      </c>
      <c r="AH31" s="24">
        <v>-3</v>
      </c>
      <c r="AI31" s="24">
        <v>-5</v>
      </c>
      <c r="AJ31" s="24">
        <v>-18</v>
      </c>
      <c r="AK31" s="24">
        <v>-9</v>
      </c>
      <c r="AL31" s="24">
        <v>-17</v>
      </c>
      <c r="AM31" s="24">
        <v>-7</v>
      </c>
      <c r="AN31" s="24">
        <v>-1</v>
      </c>
      <c r="AO31" s="24">
        <v>-2</v>
      </c>
      <c r="AP31" s="24">
        <v>-2</v>
      </c>
      <c r="AQ31" s="24">
        <v>-9</v>
      </c>
      <c r="AR31" s="24">
        <v>-5</v>
      </c>
    </row>
    <row r="32" spans="1:44" x14ac:dyDescent="0.2">
      <c r="A32" s="35" t="s">
        <v>114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/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-8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x14ac:dyDescent="0.2">
      <c r="A33" s="35" t="s">
        <v>51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/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-7</v>
      </c>
      <c r="Y33" s="24">
        <v>8</v>
      </c>
      <c r="Z33" s="24">
        <v>15</v>
      </c>
      <c r="AA33" s="24">
        <v>-5</v>
      </c>
      <c r="AB33" s="24">
        <v>-3</v>
      </c>
      <c r="AC33" s="24">
        <v>-4</v>
      </c>
      <c r="AD33" s="24">
        <v>-7</v>
      </c>
      <c r="AE33" s="24">
        <v>-23</v>
      </c>
      <c r="AF33" s="24">
        <v>-14</v>
      </c>
      <c r="AG33" s="24">
        <v>-9</v>
      </c>
      <c r="AH33" s="24">
        <v>-5</v>
      </c>
      <c r="AI33" s="24">
        <v>-8</v>
      </c>
      <c r="AJ33" s="24">
        <v>-2</v>
      </c>
      <c r="AK33" s="24">
        <v>-2</v>
      </c>
      <c r="AL33" s="24">
        <v>-2</v>
      </c>
      <c r="AM33" s="24">
        <v>-1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</row>
    <row r="34" spans="1:44" x14ac:dyDescent="0.2">
      <c r="A34" s="35" t="s">
        <v>52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/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3</v>
      </c>
      <c r="Y34" s="24">
        <v>8</v>
      </c>
      <c r="Z34" s="24">
        <v>6</v>
      </c>
      <c r="AA34" s="24">
        <v>-4</v>
      </c>
      <c r="AB34" s="24">
        <v>-3</v>
      </c>
      <c r="AC34" s="24">
        <v>-4</v>
      </c>
      <c r="AD34" s="24">
        <v>-4</v>
      </c>
      <c r="AE34" s="24">
        <v>-4</v>
      </c>
      <c r="AF34" s="24">
        <v>-3</v>
      </c>
      <c r="AG34" s="24">
        <v>-3</v>
      </c>
      <c r="AH34" s="24">
        <v>-3</v>
      </c>
      <c r="AI34" s="24">
        <v>-2</v>
      </c>
      <c r="AJ34" s="24">
        <v>0</v>
      </c>
      <c r="AK34" s="24">
        <v>0</v>
      </c>
      <c r="AL34" s="24">
        <v>0</v>
      </c>
      <c r="AM34" s="24">
        <v>-1</v>
      </c>
      <c r="AN34" s="24">
        <v>0</v>
      </c>
      <c r="AO34" s="24">
        <v>-1</v>
      </c>
      <c r="AP34" s="24">
        <v>0</v>
      </c>
      <c r="AQ34" s="24">
        <v>0</v>
      </c>
      <c r="AR34" s="24">
        <v>0</v>
      </c>
    </row>
    <row r="35" spans="1:44" x14ac:dyDescent="0.2">
      <c r="A35" s="35" t="s">
        <v>71</v>
      </c>
      <c r="B35" s="24">
        <v>-8</v>
      </c>
      <c r="C35" s="24">
        <v>3</v>
      </c>
      <c r="D35" s="24">
        <v>2</v>
      </c>
      <c r="E35" s="24">
        <v>6</v>
      </c>
      <c r="F35" s="24">
        <v>10</v>
      </c>
      <c r="G35" s="24">
        <v>4</v>
      </c>
      <c r="H35" s="24">
        <v>17</v>
      </c>
      <c r="I35" s="24">
        <v>7</v>
      </c>
      <c r="J35" s="24">
        <v>21</v>
      </c>
      <c r="K35" s="24">
        <v>-16</v>
      </c>
      <c r="L35" s="24">
        <v>-5</v>
      </c>
      <c r="M35" s="24">
        <v>2</v>
      </c>
      <c r="N35" s="24">
        <v>-6</v>
      </c>
      <c r="O35" s="24">
        <v>-2</v>
      </c>
      <c r="P35" s="24">
        <v>-7</v>
      </c>
      <c r="Q35" s="24">
        <v>-7</v>
      </c>
      <c r="R35" s="24">
        <v>5</v>
      </c>
      <c r="S35" s="24">
        <v>18</v>
      </c>
      <c r="T35" s="24">
        <v>17</v>
      </c>
      <c r="U35" s="24">
        <v>6</v>
      </c>
      <c r="V35" s="24">
        <v>6</v>
      </c>
      <c r="W35" s="24">
        <v>9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</row>
    <row r="36" spans="1:44" x14ac:dyDescent="0.2">
      <c r="A36" s="35" t="s">
        <v>82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1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</row>
    <row r="37" spans="1:44" s="26" customFormat="1" x14ac:dyDescent="0.2">
      <c r="A37" s="36" t="s">
        <v>73</v>
      </c>
      <c r="B37" s="25">
        <v>-8</v>
      </c>
      <c r="C37" s="25">
        <v>3</v>
      </c>
      <c r="D37" s="25">
        <v>2</v>
      </c>
      <c r="E37" s="25">
        <v>6</v>
      </c>
      <c r="F37" s="25">
        <v>10</v>
      </c>
      <c r="G37" s="25">
        <v>4</v>
      </c>
      <c r="H37" s="25">
        <v>18</v>
      </c>
      <c r="I37" s="25">
        <v>7</v>
      </c>
      <c r="J37" s="25">
        <v>21</v>
      </c>
      <c r="K37" s="25">
        <v>-16</v>
      </c>
      <c r="L37" s="25">
        <v>-5</v>
      </c>
      <c r="M37" s="25">
        <v>2</v>
      </c>
      <c r="N37" s="25">
        <v>-6</v>
      </c>
      <c r="O37" s="25">
        <v>-2</v>
      </c>
      <c r="P37" s="25">
        <v>-7</v>
      </c>
      <c r="Q37" s="25">
        <v>-7</v>
      </c>
      <c r="R37" s="25">
        <v>5</v>
      </c>
      <c r="S37" s="25">
        <v>18</v>
      </c>
      <c r="T37" s="25">
        <v>17</v>
      </c>
      <c r="U37" s="25">
        <v>6</v>
      </c>
      <c r="V37" s="25">
        <v>6</v>
      </c>
      <c r="W37" s="25">
        <v>9</v>
      </c>
      <c r="X37" s="25">
        <v>-12</v>
      </c>
      <c r="Y37" s="25">
        <v>16</v>
      </c>
      <c r="Z37" s="25">
        <v>21</v>
      </c>
      <c r="AA37" s="25">
        <v>-9</v>
      </c>
      <c r="AB37" s="25">
        <v>14</v>
      </c>
      <c r="AC37" s="25">
        <v>16</v>
      </c>
      <c r="AD37" s="25">
        <v>33</v>
      </c>
      <c r="AE37" s="25">
        <v>10</v>
      </c>
      <c r="AF37" s="25">
        <v>-10</v>
      </c>
      <c r="AG37" s="25">
        <v>-10</v>
      </c>
      <c r="AH37" s="25">
        <v>-11</v>
      </c>
      <c r="AI37" s="25">
        <v>-15</v>
      </c>
      <c r="AJ37" s="25">
        <v>-20</v>
      </c>
      <c r="AK37" s="25">
        <v>-11</v>
      </c>
      <c r="AL37" s="25">
        <v>-19</v>
      </c>
      <c r="AM37" s="25">
        <v>-9</v>
      </c>
      <c r="AN37" s="25">
        <v>-1</v>
      </c>
      <c r="AO37" s="25">
        <v>-3</v>
      </c>
      <c r="AP37" s="25">
        <v>-2</v>
      </c>
      <c r="AQ37" s="25">
        <v>-9</v>
      </c>
      <c r="AR37" s="25">
        <v>-5</v>
      </c>
    </row>
    <row r="38" spans="1:44" ht="24" x14ac:dyDescent="0.2">
      <c r="A38" s="35" t="s">
        <v>87</v>
      </c>
      <c r="B38" s="24">
        <v>0</v>
      </c>
      <c r="C38" s="24">
        <v>0</v>
      </c>
      <c r="D38" s="24">
        <v>0</v>
      </c>
      <c r="E38" s="24">
        <v>0</v>
      </c>
      <c r="F38" s="24">
        <v>12</v>
      </c>
      <c r="G38" s="24">
        <v>1</v>
      </c>
      <c r="H38" s="24">
        <v>3</v>
      </c>
      <c r="I38" s="24">
        <v>0</v>
      </c>
      <c r="J38" s="24">
        <v>3</v>
      </c>
      <c r="K38" s="24">
        <v>79</v>
      </c>
      <c r="L38" s="24">
        <v>68</v>
      </c>
      <c r="M38" s="24">
        <v>54</v>
      </c>
      <c r="N38" s="24">
        <v>117</v>
      </c>
      <c r="O38" s="24">
        <v>-7</v>
      </c>
      <c r="P38" s="24">
        <v>-28</v>
      </c>
      <c r="Q38" s="24">
        <v>1</v>
      </c>
      <c r="R38" s="24">
        <v>-52</v>
      </c>
      <c r="S38" s="24">
        <v>-57</v>
      </c>
      <c r="T38" s="24">
        <v>-14</v>
      </c>
      <c r="U38" s="24">
        <v>-36</v>
      </c>
      <c r="V38" s="24">
        <v>45</v>
      </c>
      <c r="W38" s="24">
        <v>42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</row>
    <row r="39" spans="1:44" x14ac:dyDescent="0.2">
      <c r="A39" s="35" t="s">
        <v>94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/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-27</v>
      </c>
      <c r="Y39" s="24">
        <v>-16</v>
      </c>
      <c r="Z39" s="24">
        <v>-5</v>
      </c>
      <c r="AA39" s="24">
        <v>-1</v>
      </c>
      <c r="AB39" s="24">
        <v>-5</v>
      </c>
      <c r="AC39" s="24">
        <v>0</v>
      </c>
      <c r="AD39" s="24">
        <v>-1</v>
      </c>
      <c r="AE39" s="24">
        <v>-1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</row>
    <row r="40" spans="1:44" x14ac:dyDescent="0.2">
      <c r="A40" s="35" t="s">
        <v>53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/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-21</v>
      </c>
      <c r="Y40" s="24">
        <v>-16</v>
      </c>
      <c r="Z40" s="24">
        <v>-5</v>
      </c>
      <c r="AA40" s="24">
        <v>-8</v>
      </c>
      <c r="AB40" s="24">
        <v>-3</v>
      </c>
      <c r="AC40" s="24">
        <v>-3</v>
      </c>
      <c r="AD40" s="24">
        <v>-2</v>
      </c>
      <c r="AE40" s="24">
        <v>-1</v>
      </c>
      <c r="AF40" s="24">
        <v>-1</v>
      </c>
      <c r="AG40" s="24">
        <v>178</v>
      </c>
      <c r="AH40" s="24">
        <v>55</v>
      </c>
      <c r="AI40" s="24">
        <v>90</v>
      </c>
      <c r="AJ40" s="24">
        <v>87</v>
      </c>
      <c r="AK40" s="24">
        <v>66</v>
      </c>
      <c r="AL40" s="24">
        <v>24</v>
      </c>
      <c r="AM40" s="24">
        <v>-18</v>
      </c>
      <c r="AN40" s="24">
        <v>-33</v>
      </c>
      <c r="AO40" s="24">
        <v>-24</v>
      </c>
      <c r="AP40" s="24">
        <v>1</v>
      </c>
      <c r="AQ40" s="24">
        <v>-45</v>
      </c>
      <c r="AR40" s="24">
        <v>-49</v>
      </c>
    </row>
    <row r="41" spans="1:44" x14ac:dyDescent="0.2">
      <c r="A41" s="35" t="s">
        <v>54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/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3</v>
      </c>
      <c r="Y41" s="24">
        <v>8</v>
      </c>
      <c r="Z41" s="24">
        <v>24</v>
      </c>
      <c r="AA41" s="24">
        <v>2</v>
      </c>
      <c r="AB41" s="24">
        <v>-15</v>
      </c>
      <c r="AC41" s="24">
        <v>-18</v>
      </c>
      <c r="AD41" s="24">
        <v>13</v>
      </c>
      <c r="AE41" s="24">
        <v>19</v>
      </c>
      <c r="AF41" s="24">
        <v>-18</v>
      </c>
      <c r="AG41" s="24">
        <v>-27</v>
      </c>
      <c r="AH41" s="24">
        <v>-13</v>
      </c>
      <c r="AI41" s="24">
        <v>-7</v>
      </c>
      <c r="AJ41" s="24">
        <v>-5</v>
      </c>
      <c r="AK41" s="24">
        <v>-3</v>
      </c>
      <c r="AL41" s="24">
        <v>0</v>
      </c>
      <c r="AM41" s="24">
        <v>-1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</row>
    <row r="42" spans="1:44" x14ac:dyDescent="0.2">
      <c r="A42" s="35" t="s">
        <v>55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/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-2</v>
      </c>
      <c r="Y42" s="24">
        <v>4</v>
      </c>
      <c r="Z42" s="24">
        <v>-1</v>
      </c>
      <c r="AA42" s="24">
        <v>3</v>
      </c>
      <c r="AB42" s="24">
        <v>-5</v>
      </c>
      <c r="AC42" s="24">
        <v>-1</v>
      </c>
      <c r="AD42" s="24">
        <v>16</v>
      </c>
      <c r="AE42" s="24">
        <v>-6</v>
      </c>
      <c r="AF42" s="24">
        <v>3</v>
      </c>
      <c r="AG42" s="24">
        <v>-12</v>
      </c>
      <c r="AH42" s="24">
        <v>-5</v>
      </c>
      <c r="AI42" s="24">
        <v>-4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</row>
    <row r="43" spans="1:44" x14ac:dyDescent="0.2">
      <c r="A43" s="35" t="s">
        <v>56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/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18</v>
      </c>
      <c r="Y43" s="24">
        <v>17</v>
      </c>
      <c r="Z43" s="24">
        <v>16</v>
      </c>
      <c r="AA43" s="24">
        <v>14</v>
      </c>
      <c r="AB43" s="24">
        <v>22</v>
      </c>
      <c r="AC43" s="24">
        <v>12</v>
      </c>
      <c r="AD43" s="24">
        <v>21</v>
      </c>
      <c r="AE43" s="24">
        <v>25</v>
      </c>
      <c r="AF43" s="24">
        <v>33</v>
      </c>
      <c r="AG43" s="24">
        <v>-61</v>
      </c>
      <c r="AH43" s="24">
        <v>-37</v>
      </c>
      <c r="AI43" s="24">
        <v>-37</v>
      </c>
      <c r="AJ43" s="24">
        <v>-25</v>
      </c>
      <c r="AK43" s="24">
        <v>-11</v>
      </c>
      <c r="AL43" s="24">
        <v>-11</v>
      </c>
      <c r="AM43" s="24">
        <v>-4</v>
      </c>
      <c r="AN43" s="24">
        <v>-6</v>
      </c>
      <c r="AO43" s="24">
        <v>-2</v>
      </c>
      <c r="AP43" s="24">
        <v>-3</v>
      </c>
      <c r="AQ43" s="24">
        <v>-1</v>
      </c>
      <c r="AR43" s="24">
        <v>-1</v>
      </c>
    </row>
    <row r="44" spans="1:44" x14ac:dyDescent="0.2">
      <c r="A44" s="35" t="s">
        <v>57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/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19</v>
      </c>
      <c r="Y44" s="24">
        <v>12</v>
      </c>
      <c r="Z44" s="24">
        <v>12</v>
      </c>
      <c r="AA44" s="24">
        <v>-14</v>
      </c>
      <c r="AB44" s="24">
        <v>-8</v>
      </c>
      <c r="AC44" s="24">
        <v>-8</v>
      </c>
      <c r="AD44" s="24">
        <v>0</v>
      </c>
      <c r="AE44" s="24">
        <v>10</v>
      </c>
      <c r="AF44" s="24">
        <v>-8</v>
      </c>
      <c r="AG44" s="24">
        <v>-39</v>
      </c>
      <c r="AH44" s="24">
        <v>-26</v>
      </c>
      <c r="AI44" s="24">
        <v>-19</v>
      </c>
      <c r="AJ44" s="24">
        <v>-7</v>
      </c>
      <c r="AK44" s="24">
        <v>-5</v>
      </c>
      <c r="AL44" s="24">
        <v>-4</v>
      </c>
      <c r="AM44" s="24">
        <v>-2</v>
      </c>
      <c r="AN44" s="24">
        <v>-1</v>
      </c>
      <c r="AO44" s="24">
        <v>-2</v>
      </c>
      <c r="AP44" s="24">
        <v>0</v>
      </c>
      <c r="AQ44" s="24">
        <v>0</v>
      </c>
      <c r="AR44" s="24">
        <v>0</v>
      </c>
    </row>
    <row r="45" spans="1:44" x14ac:dyDescent="0.2">
      <c r="A45" s="35" t="s">
        <v>69</v>
      </c>
      <c r="B45" s="24">
        <v>1</v>
      </c>
      <c r="C45" s="24">
        <v>300</v>
      </c>
      <c r="D45" s="24">
        <v>685</v>
      </c>
      <c r="E45" s="24">
        <v>553</v>
      </c>
      <c r="F45" s="24">
        <v>2840</v>
      </c>
      <c r="G45" s="24">
        <v>907</v>
      </c>
      <c r="H45" s="24">
        <v>1689</v>
      </c>
      <c r="I45" s="24">
        <v>-286</v>
      </c>
      <c r="J45" s="24">
        <v>-45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</row>
    <row r="46" spans="1:44" s="26" customFormat="1" x14ac:dyDescent="0.2">
      <c r="A46" s="36" t="s">
        <v>73</v>
      </c>
      <c r="B46" s="25">
        <v>1</v>
      </c>
      <c r="C46" s="25">
        <v>300</v>
      </c>
      <c r="D46" s="25">
        <v>685</v>
      </c>
      <c r="E46" s="25">
        <v>553</v>
      </c>
      <c r="F46" s="25">
        <v>2852</v>
      </c>
      <c r="G46" s="25">
        <v>908</v>
      </c>
      <c r="H46" s="25">
        <v>1692</v>
      </c>
      <c r="I46" s="25">
        <v>-286</v>
      </c>
      <c r="J46" s="25">
        <v>-42</v>
      </c>
      <c r="K46" s="25">
        <v>79</v>
      </c>
      <c r="L46" s="25">
        <v>68</v>
      </c>
      <c r="M46" s="25">
        <v>54</v>
      </c>
      <c r="N46" s="25">
        <v>117</v>
      </c>
      <c r="O46" s="25">
        <v>-7</v>
      </c>
      <c r="P46" s="25">
        <v>-28</v>
      </c>
      <c r="Q46" s="25">
        <v>1</v>
      </c>
      <c r="R46" s="25">
        <v>-52</v>
      </c>
      <c r="S46" s="25">
        <v>-57</v>
      </c>
      <c r="T46" s="25">
        <v>-14</v>
      </c>
      <c r="U46" s="25">
        <v>-36</v>
      </c>
      <c r="V46" s="25">
        <v>45</v>
      </c>
      <c r="W46" s="25">
        <v>42</v>
      </c>
      <c r="X46" s="25">
        <v>-10</v>
      </c>
      <c r="Y46" s="25">
        <v>9</v>
      </c>
      <c r="Z46" s="25">
        <v>41</v>
      </c>
      <c r="AA46" s="25">
        <v>-4</v>
      </c>
      <c r="AB46" s="25">
        <v>-14</v>
      </c>
      <c r="AC46" s="25">
        <v>-18</v>
      </c>
      <c r="AD46" s="25">
        <v>47</v>
      </c>
      <c r="AE46" s="25">
        <v>46</v>
      </c>
      <c r="AF46" s="25">
        <v>9</v>
      </c>
      <c r="AG46" s="25">
        <v>39</v>
      </c>
      <c r="AH46" s="25">
        <v>-26</v>
      </c>
      <c r="AI46" s="25">
        <v>23</v>
      </c>
      <c r="AJ46" s="25">
        <v>50</v>
      </c>
      <c r="AK46" s="25">
        <v>47</v>
      </c>
      <c r="AL46" s="25">
        <v>9</v>
      </c>
      <c r="AM46" s="25">
        <v>-25</v>
      </c>
      <c r="AN46" s="25">
        <v>-40</v>
      </c>
      <c r="AO46" s="25">
        <v>-28</v>
      </c>
      <c r="AP46" s="25">
        <v>-2</v>
      </c>
      <c r="AQ46" s="25">
        <v>-46</v>
      </c>
      <c r="AR46" s="25">
        <v>-50</v>
      </c>
    </row>
    <row r="47" spans="1:44" x14ac:dyDescent="0.2">
      <c r="A47" s="35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/>
      <c r="I47" s="24">
        <v>0</v>
      </c>
      <c r="J47" s="24">
        <v>0</v>
      </c>
      <c r="K47" s="24">
        <v>0</v>
      </c>
      <c r="L47" s="24">
        <v>0</v>
      </c>
      <c r="M47" s="24">
        <v>334</v>
      </c>
      <c r="N47" s="24">
        <v>-26</v>
      </c>
      <c r="O47" s="24">
        <v>-24</v>
      </c>
      <c r="P47" s="24">
        <v>-23</v>
      </c>
      <c r="Q47" s="24">
        <v>-8</v>
      </c>
      <c r="R47" s="24">
        <v>-23</v>
      </c>
      <c r="S47" s="24">
        <v>-33</v>
      </c>
      <c r="T47" s="24">
        <v>-18</v>
      </c>
      <c r="U47" s="24">
        <v>-36</v>
      </c>
      <c r="V47" s="24">
        <v>-18</v>
      </c>
      <c r="W47" s="24">
        <v>-21</v>
      </c>
      <c r="X47" s="24">
        <v>-15</v>
      </c>
      <c r="Y47" s="24">
        <v>-16</v>
      </c>
      <c r="Z47" s="24">
        <v>-9</v>
      </c>
      <c r="AA47" s="24">
        <v>-8</v>
      </c>
      <c r="AB47" s="24">
        <v>-8</v>
      </c>
      <c r="AC47" s="24">
        <v>-3</v>
      </c>
      <c r="AD47" s="24">
        <v>-6</v>
      </c>
      <c r="AE47" s="24">
        <v>-2</v>
      </c>
      <c r="AF47" s="24">
        <v>-5</v>
      </c>
      <c r="AG47" s="24">
        <v>-1</v>
      </c>
      <c r="AH47" s="24">
        <v>-3</v>
      </c>
      <c r="AI47" s="24">
        <v>-5</v>
      </c>
      <c r="AJ47" s="24">
        <v>1</v>
      </c>
      <c r="AK47" s="24">
        <v>-2</v>
      </c>
      <c r="AL47" s="24">
        <v>-2</v>
      </c>
      <c r="AM47" s="24">
        <v>-2</v>
      </c>
      <c r="AN47" s="24">
        <v>-1</v>
      </c>
      <c r="AO47" s="24">
        <v>-3</v>
      </c>
      <c r="AP47" s="24">
        <v>0</v>
      </c>
      <c r="AQ47" s="24">
        <v>-2</v>
      </c>
      <c r="AR47" s="24">
        <v>-3</v>
      </c>
    </row>
    <row r="48" spans="1:44" ht="24" x14ac:dyDescent="0.2">
      <c r="A48" s="35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/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-2</v>
      </c>
      <c r="Y48" s="24">
        <v>-1</v>
      </c>
      <c r="Z48" s="24">
        <v>0</v>
      </c>
      <c r="AA48" s="24">
        <v>-2</v>
      </c>
      <c r="AB48" s="24">
        <v>0</v>
      </c>
      <c r="AC48" s="24">
        <v>1</v>
      </c>
      <c r="AD48" s="24">
        <v>0</v>
      </c>
      <c r="AE48" s="24">
        <v>1</v>
      </c>
      <c r="AF48" s="24">
        <v>0</v>
      </c>
      <c r="AG48" s="24">
        <v>-2</v>
      </c>
      <c r="AH48" s="24">
        <v>0</v>
      </c>
      <c r="AI48" s="24">
        <v>-1</v>
      </c>
      <c r="AJ48" s="24">
        <v>-1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</row>
    <row r="49" spans="1:44" ht="24" x14ac:dyDescent="0.2">
      <c r="A49" s="35" t="s">
        <v>88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/>
      <c r="I49" s="24">
        <v>0</v>
      </c>
      <c r="J49" s="24">
        <v>0</v>
      </c>
      <c r="K49" s="24">
        <v>3005</v>
      </c>
      <c r="L49" s="24">
        <v>20</v>
      </c>
      <c r="M49" s="24">
        <v>-116</v>
      </c>
      <c r="N49" s="24">
        <v>-404</v>
      </c>
      <c r="O49" s="24">
        <v>4</v>
      </c>
      <c r="P49" s="24">
        <v>-283</v>
      </c>
      <c r="Q49" s="24">
        <v>299</v>
      </c>
      <c r="R49" s="24">
        <v>-286</v>
      </c>
      <c r="S49" s="24">
        <v>186</v>
      </c>
      <c r="T49" s="24">
        <v>-24</v>
      </c>
      <c r="U49" s="24">
        <v>-528</v>
      </c>
      <c r="V49" s="24">
        <v>-1913</v>
      </c>
      <c r="W49" s="24">
        <v>-1</v>
      </c>
      <c r="X49" s="24">
        <v>-4</v>
      </c>
      <c r="Y49" s="24">
        <v>0</v>
      </c>
      <c r="Z49" s="24">
        <v>-2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</row>
    <row r="50" spans="1:44" x14ac:dyDescent="0.2">
      <c r="A50" s="35" t="s">
        <v>79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/>
      <c r="I50" s="24">
        <v>0</v>
      </c>
      <c r="J50" s="24">
        <v>0</v>
      </c>
      <c r="K50" s="24">
        <v>0</v>
      </c>
      <c r="L50" s="24">
        <v>0</v>
      </c>
      <c r="M50" s="24">
        <v>19</v>
      </c>
      <c r="N50" s="24">
        <v>-5</v>
      </c>
      <c r="O50" s="24">
        <v>0</v>
      </c>
      <c r="P50" s="24">
        <v>-3</v>
      </c>
      <c r="Q50" s="24">
        <v>-2</v>
      </c>
      <c r="R50" s="24">
        <v>-5</v>
      </c>
      <c r="S50" s="24">
        <v>-1</v>
      </c>
      <c r="T50" s="24">
        <v>1</v>
      </c>
      <c r="U50" s="24">
        <v>-3</v>
      </c>
      <c r="V50" s="24">
        <v>0</v>
      </c>
      <c r="W50" s="24">
        <v>0</v>
      </c>
      <c r="X50" s="24">
        <v>0</v>
      </c>
      <c r="Y50" s="24">
        <v>-1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</row>
    <row r="51" spans="1:44" s="26" customFormat="1" x14ac:dyDescent="0.2">
      <c r="A51" s="36" t="s">
        <v>73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3005</v>
      </c>
      <c r="L51" s="25">
        <v>20</v>
      </c>
      <c r="M51" s="25">
        <v>237</v>
      </c>
      <c r="N51" s="25">
        <v>-435</v>
      </c>
      <c r="O51" s="25">
        <v>-20</v>
      </c>
      <c r="P51" s="25">
        <v>-309</v>
      </c>
      <c r="Q51" s="25">
        <v>289</v>
      </c>
      <c r="R51" s="25">
        <v>-314</v>
      </c>
      <c r="S51" s="25">
        <v>152</v>
      </c>
      <c r="T51" s="25">
        <v>-41</v>
      </c>
      <c r="U51" s="25">
        <v>-567</v>
      </c>
      <c r="V51" s="25">
        <v>-1931</v>
      </c>
      <c r="W51" s="25">
        <v>-22</v>
      </c>
      <c r="X51" s="25">
        <v>-21</v>
      </c>
      <c r="Y51" s="25">
        <v>-18</v>
      </c>
      <c r="Z51" s="25">
        <v>-11</v>
      </c>
      <c r="AA51" s="25">
        <v>-10</v>
      </c>
      <c r="AB51" s="25">
        <v>-8</v>
      </c>
      <c r="AC51" s="25">
        <v>-2</v>
      </c>
      <c r="AD51" s="25">
        <v>-6</v>
      </c>
      <c r="AE51" s="25">
        <v>-1</v>
      </c>
      <c r="AF51" s="25">
        <v>-5</v>
      </c>
      <c r="AG51" s="25">
        <v>-3</v>
      </c>
      <c r="AH51" s="25">
        <v>-3</v>
      </c>
      <c r="AI51" s="25">
        <v>-6</v>
      </c>
      <c r="AJ51" s="25">
        <v>0</v>
      </c>
      <c r="AK51" s="25">
        <v>-2</v>
      </c>
      <c r="AL51" s="25">
        <v>-2</v>
      </c>
      <c r="AM51" s="25">
        <v>-2</v>
      </c>
      <c r="AN51" s="25">
        <v>-1</v>
      </c>
      <c r="AO51" s="25">
        <v>-3</v>
      </c>
      <c r="AP51" s="25">
        <v>0</v>
      </c>
      <c r="AQ51" s="25">
        <v>-2</v>
      </c>
      <c r="AR51" s="25">
        <v>-3</v>
      </c>
    </row>
    <row r="52" spans="1:44" x14ac:dyDescent="0.2">
      <c r="A52" s="35" t="s">
        <v>60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/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8</v>
      </c>
      <c r="AI52" s="24">
        <v>7</v>
      </c>
      <c r="AJ52" s="24">
        <v>4</v>
      </c>
      <c r="AK52" s="24">
        <v>0</v>
      </c>
      <c r="AL52" s="24">
        <v>0</v>
      </c>
      <c r="AM52" s="24">
        <v>1</v>
      </c>
      <c r="AN52" s="24">
        <v>1</v>
      </c>
      <c r="AO52" s="24">
        <v>-3</v>
      </c>
      <c r="AP52" s="24">
        <v>-4</v>
      </c>
      <c r="AQ52" s="24">
        <v>-1</v>
      </c>
      <c r="AR52" s="24">
        <v>-1</v>
      </c>
    </row>
    <row r="53" spans="1:44" s="26" customFormat="1" x14ac:dyDescent="0.2">
      <c r="A53" s="36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8</v>
      </c>
      <c r="AI53" s="25">
        <v>7</v>
      </c>
      <c r="AJ53" s="25">
        <v>4</v>
      </c>
      <c r="AK53" s="25">
        <v>0</v>
      </c>
      <c r="AL53" s="25">
        <v>0</v>
      </c>
      <c r="AM53" s="25">
        <v>1</v>
      </c>
      <c r="AN53" s="25">
        <v>1</v>
      </c>
      <c r="AO53" s="25">
        <v>-3</v>
      </c>
      <c r="AP53" s="25">
        <v>-4</v>
      </c>
      <c r="AQ53" s="25">
        <v>-1</v>
      </c>
      <c r="AR53" s="25">
        <v>-1</v>
      </c>
    </row>
    <row r="54" spans="1:44" x14ac:dyDescent="0.2">
      <c r="A54" s="35" t="s">
        <v>70</v>
      </c>
      <c r="B54" s="24">
        <v>-20</v>
      </c>
      <c r="C54" s="24">
        <v>0</v>
      </c>
      <c r="D54" s="24">
        <v>0</v>
      </c>
      <c r="E54" s="24">
        <v>0</v>
      </c>
      <c r="F54" s="24">
        <v>0</v>
      </c>
      <c r="G54" s="24">
        <v>1</v>
      </c>
      <c r="H54" s="24">
        <v>1</v>
      </c>
      <c r="I54" s="24">
        <v>1</v>
      </c>
      <c r="J54" s="24">
        <v>1</v>
      </c>
      <c r="K54" s="24">
        <v>-1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</row>
    <row r="55" spans="1:44" s="26" customFormat="1" x14ac:dyDescent="0.2">
      <c r="A55" s="36" t="s">
        <v>73</v>
      </c>
      <c r="B55" s="25">
        <v>-20</v>
      </c>
      <c r="C55" s="25">
        <v>0</v>
      </c>
      <c r="D55" s="25">
        <v>0</v>
      </c>
      <c r="E55" s="25">
        <v>0</v>
      </c>
      <c r="F55" s="25">
        <v>0</v>
      </c>
      <c r="G55" s="25">
        <v>1</v>
      </c>
      <c r="H55" s="25">
        <v>1</v>
      </c>
      <c r="I55" s="25">
        <v>1</v>
      </c>
      <c r="J55" s="25">
        <v>1</v>
      </c>
      <c r="K55" s="25">
        <v>-1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</row>
    <row r="56" spans="1:44" x14ac:dyDescent="0.2">
      <c r="A56" s="35" t="s">
        <v>75</v>
      </c>
      <c r="B56" s="24">
        <v>0</v>
      </c>
      <c r="C56" s="24">
        <v>2</v>
      </c>
      <c r="D56" s="24">
        <v>0</v>
      </c>
      <c r="E56" s="24">
        <v>0</v>
      </c>
      <c r="F56" s="24">
        <v>0</v>
      </c>
      <c r="G56" s="24">
        <v>0</v>
      </c>
      <c r="H56" s="24"/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</row>
    <row r="57" spans="1:44" s="26" customFormat="1" x14ac:dyDescent="0.2">
      <c r="A57" s="36" t="s">
        <v>73</v>
      </c>
      <c r="B57" s="25">
        <v>0</v>
      </c>
      <c r="C57" s="25">
        <v>2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</row>
    <row r="58" spans="1:44" x14ac:dyDescent="0.2">
      <c r="A58" s="35" t="s">
        <v>85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/>
      <c r="I58" s="24">
        <v>0</v>
      </c>
      <c r="J58" s="24">
        <v>1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</row>
    <row r="59" spans="1:44" s="26" customFormat="1" x14ac:dyDescent="0.2">
      <c r="A59" s="36" t="s">
        <v>73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1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</row>
    <row r="60" spans="1:44" x14ac:dyDescent="0.2">
      <c r="A60" s="35" t="s">
        <v>89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/>
      <c r="I60" s="24">
        <v>0</v>
      </c>
      <c r="J60" s="24">
        <v>0</v>
      </c>
      <c r="K60" s="24">
        <v>0</v>
      </c>
      <c r="L60" s="24">
        <v>9</v>
      </c>
      <c r="M60" s="24">
        <v>32</v>
      </c>
      <c r="N60" s="24">
        <v>-1</v>
      </c>
      <c r="O60" s="24">
        <v>-5</v>
      </c>
      <c r="P60" s="24">
        <v>-5</v>
      </c>
      <c r="Q60" s="24">
        <v>3</v>
      </c>
      <c r="R60" s="24">
        <v>-6</v>
      </c>
      <c r="S60" s="24">
        <v>-3</v>
      </c>
      <c r="T60" s="24">
        <v>-4</v>
      </c>
      <c r="U60" s="24">
        <v>-3</v>
      </c>
      <c r="V60" s="24">
        <v>-3</v>
      </c>
      <c r="W60" s="24">
        <v>-17</v>
      </c>
      <c r="X60" s="24">
        <v>-6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</row>
    <row r="61" spans="1:44" s="26" customFormat="1" x14ac:dyDescent="0.2">
      <c r="A61" s="36" t="s">
        <v>73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9</v>
      </c>
      <c r="M61" s="25">
        <v>32</v>
      </c>
      <c r="N61" s="25">
        <v>-1</v>
      </c>
      <c r="O61" s="25">
        <v>-5</v>
      </c>
      <c r="P61" s="25">
        <v>-5</v>
      </c>
      <c r="Q61" s="25">
        <v>3</v>
      </c>
      <c r="R61" s="25">
        <v>-6</v>
      </c>
      <c r="S61" s="25">
        <v>-3</v>
      </c>
      <c r="T61" s="25">
        <v>-4</v>
      </c>
      <c r="U61" s="25">
        <v>-3</v>
      </c>
      <c r="V61" s="25">
        <v>-3</v>
      </c>
      <c r="W61" s="25">
        <v>-17</v>
      </c>
      <c r="X61" s="25">
        <v>-6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</row>
    <row r="62" spans="1:44" s="29" customFormat="1" ht="12.5" thickBot="1" x14ac:dyDescent="0.25">
      <c r="A62" s="37" t="s">
        <v>61</v>
      </c>
      <c r="B62" s="40">
        <v>-42</v>
      </c>
      <c r="C62" s="40">
        <v>305</v>
      </c>
      <c r="D62" s="40">
        <v>699</v>
      </c>
      <c r="E62" s="40">
        <v>574</v>
      </c>
      <c r="F62" s="40">
        <v>6623</v>
      </c>
      <c r="G62" s="40">
        <v>2794</v>
      </c>
      <c r="H62" s="40">
        <v>3923</v>
      </c>
      <c r="I62" s="40">
        <v>-356</v>
      </c>
      <c r="J62" s="40">
        <v>297</v>
      </c>
      <c r="K62" s="40">
        <v>3144</v>
      </c>
      <c r="L62" s="40">
        <v>257</v>
      </c>
      <c r="M62" s="40">
        <v>687</v>
      </c>
      <c r="N62" s="40">
        <v>-461</v>
      </c>
      <c r="O62" s="40">
        <v>446</v>
      </c>
      <c r="P62" s="40">
        <v>-513</v>
      </c>
      <c r="Q62" s="40">
        <v>403</v>
      </c>
      <c r="R62" s="40">
        <v>-249</v>
      </c>
      <c r="S62" s="40">
        <v>561</v>
      </c>
      <c r="T62" s="40">
        <v>-584</v>
      </c>
      <c r="U62" s="40">
        <v>-548</v>
      </c>
      <c r="V62" s="40">
        <v>-1602</v>
      </c>
      <c r="W62" s="40">
        <v>168</v>
      </c>
      <c r="X62" s="40">
        <v>32</v>
      </c>
      <c r="Y62" s="40">
        <v>137</v>
      </c>
      <c r="Z62" s="40">
        <v>423</v>
      </c>
      <c r="AA62" s="40">
        <v>353</v>
      </c>
      <c r="AB62" s="40">
        <v>379</v>
      </c>
      <c r="AC62" s="40">
        <v>407</v>
      </c>
      <c r="AD62" s="40">
        <v>341</v>
      </c>
      <c r="AE62" s="40">
        <v>88</v>
      </c>
      <c r="AF62" s="40">
        <v>25</v>
      </c>
      <c r="AG62" s="40">
        <v>12</v>
      </c>
      <c r="AH62" s="40">
        <v>-142</v>
      </c>
      <c r="AI62" s="40">
        <v>-251</v>
      </c>
      <c r="AJ62" s="40">
        <v>-35</v>
      </c>
      <c r="AK62" s="40">
        <v>-17</v>
      </c>
      <c r="AL62" s="40">
        <v>-235</v>
      </c>
      <c r="AM62" s="40">
        <v>-431</v>
      </c>
      <c r="AN62" s="40">
        <v>-268</v>
      </c>
      <c r="AO62" s="40">
        <v>-243</v>
      </c>
      <c r="AP62" s="40">
        <v>-293</v>
      </c>
      <c r="AQ62" s="40">
        <v>-320</v>
      </c>
      <c r="AR62" s="40">
        <v>-273</v>
      </c>
    </row>
    <row r="64" spans="1:44" x14ac:dyDescent="0.2">
      <c r="A64" s="5"/>
      <c r="B64" s="6" t="s">
        <v>138</v>
      </c>
      <c r="C64" s="6" t="s">
        <v>139</v>
      </c>
      <c r="D64" s="6" t="s">
        <v>140</v>
      </c>
      <c r="E64" s="6" t="s">
        <v>141</v>
      </c>
      <c r="F64" s="6" t="s">
        <v>142</v>
      </c>
      <c r="G64" s="6" t="s">
        <v>143</v>
      </c>
      <c r="H64" s="6" t="s">
        <v>144</v>
      </c>
      <c r="I64" s="6" t="s">
        <v>145</v>
      </c>
      <c r="J64" s="6" t="s">
        <v>146</v>
      </c>
      <c r="K64" s="6" t="s">
        <v>150</v>
      </c>
      <c r="L64" s="6" t="s">
        <v>151</v>
      </c>
      <c r="M64" s="6" t="s">
        <v>152</v>
      </c>
      <c r="N64" s="6" t="s">
        <v>153</v>
      </c>
      <c r="O64" s="6" t="s">
        <v>154</v>
      </c>
      <c r="P64" s="6" t="s">
        <v>155</v>
      </c>
      <c r="Q64" s="6" t="s">
        <v>156</v>
      </c>
      <c r="R64" s="6" t="s">
        <v>157</v>
      </c>
      <c r="S64" s="6" t="s">
        <v>158</v>
      </c>
      <c r="T64" s="6" t="s">
        <v>159</v>
      </c>
      <c r="U64" s="6" t="s">
        <v>160</v>
      </c>
      <c r="V64" s="6" t="s">
        <v>161</v>
      </c>
      <c r="W64" s="6" t="s">
        <v>162</v>
      </c>
      <c r="X64" s="6" t="s">
        <v>163</v>
      </c>
      <c r="Y64" s="6" t="s">
        <v>164</v>
      </c>
      <c r="Z64" s="6" t="s">
        <v>165</v>
      </c>
      <c r="AA64" s="6" t="s">
        <v>166</v>
      </c>
      <c r="AB64" s="6" t="s">
        <v>167</v>
      </c>
      <c r="AC64" s="6" t="s">
        <v>168</v>
      </c>
      <c r="AD64" s="6" t="s">
        <v>169</v>
      </c>
      <c r="AE64" s="6" t="s">
        <v>170</v>
      </c>
      <c r="AF64" s="6" t="s">
        <v>171</v>
      </c>
      <c r="AG64" s="6" t="s">
        <v>172</v>
      </c>
      <c r="AH64" s="6" t="s">
        <v>173</v>
      </c>
      <c r="AI64" s="6" t="s">
        <v>174</v>
      </c>
      <c r="AJ64" s="6" t="s">
        <v>175</v>
      </c>
      <c r="AK64" s="6" t="s">
        <v>176</v>
      </c>
      <c r="AL64" s="6" t="s">
        <v>177</v>
      </c>
      <c r="AM64" s="6" t="s">
        <v>178</v>
      </c>
      <c r="AN64" s="6" t="s">
        <v>179</v>
      </c>
      <c r="AO64" s="6" t="s">
        <v>180</v>
      </c>
      <c r="AP64" s="6" t="s">
        <v>181</v>
      </c>
      <c r="AQ64" s="6" t="s">
        <v>182</v>
      </c>
      <c r="AR64" s="6" t="s">
        <v>183</v>
      </c>
    </row>
    <row r="65" spans="1:44" s="26" customFormat="1" x14ac:dyDescent="0.2">
      <c r="A65" s="36" t="s">
        <v>235</v>
      </c>
      <c r="B65" s="25">
        <v>-15</v>
      </c>
      <c r="C65" s="25">
        <v>0</v>
      </c>
      <c r="D65" s="25">
        <v>12</v>
      </c>
      <c r="E65" s="25">
        <v>15</v>
      </c>
      <c r="F65" s="25">
        <v>11</v>
      </c>
      <c r="G65" s="25">
        <v>7</v>
      </c>
      <c r="H65" s="25">
        <v>10</v>
      </c>
      <c r="I65" s="25">
        <v>24</v>
      </c>
      <c r="J65" s="25">
        <v>23</v>
      </c>
      <c r="K65" s="25">
        <v>-4</v>
      </c>
      <c r="L65" s="25">
        <v>-27</v>
      </c>
      <c r="M65" s="25">
        <v>-30</v>
      </c>
      <c r="N65" s="25">
        <v>-30</v>
      </c>
      <c r="O65" s="25">
        <v>24</v>
      </c>
      <c r="P65" s="25">
        <v>80</v>
      </c>
      <c r="Q65" s="25">
        <v>135</v>
      </c>
      <c r="R65" s="25">
        <v>208</v>
      </c>
      <c r="S65" s="25">
        <v>159</v>
      </c>
      <c r="T65" s="25">
        <v>159</v>
      </c>
      <c r="U65" s="25">
        <v>146</v>
      </c>
      <c r="V65" s="25">
        <v>325</v>
      </c>
      <c r="W65" s="25">
        <v>279</v>
      </c>
      <c r="X65" s="25">
        <v>176</v>
      </c>
      <c r="Y65" s="25">
        <v>221</v>
      </c>
      <c r="Z65" s="25">
        <v>422</v>
      </c>
      <c r="AA65" s="25">
        <v>397</v>
      </c>
      <c r="AB65" s="25">
        <v>409</v>
      </c>
      <c r="AC65" s="25">
        <v>423</v>
      </c>
      <c r="AD65" s="25">
        <v>256</v>
      </c>
      <c r="AE65" s="25">
        <v>19</v>
      </c>
      <c r="AF65" s="25">
        <v>19</v>
      </c>
      <c r="AG65" s="25">
        <v>-157</v>
      </c>
      <c r="AH65" s="25">
        <v>-268</v>
      </c>
      <c r="AI65" s="25">
        <v>-297</v>
      </c>
      <c r="AJ65" s="25">
        <v>-24</v>
      </c>
      <c r="AK65" s="25">
        <v>-9</v>
      </c>
      <c r="AL65" s="25">
        <v>-204</v>
      </c>
      <c r="AM65" s="25">
        <v>-352</v>
      </c>
      <c r="AN65" s="25">
        <v>-196</v>
      </c>
      <c r="AO65" s="25">
        <v>-190</v>
      </c>
      <c r="AP65" s="25">
        <v>-259</v>
      </c>
      <c r="AQ65" s="25">
        <v>-238</v>
      </c>
      <c r="AR65" s="25">
        <v>-179</v>
      </c>
    </row>
    <row r="66" spans="1:44" s="26" customFormat="1" x14ac:dyDescent="0.2">
      <c r="A66" s="36" t="s">
        <v>237</v>
      </c>
      <c r="B66" s="25">
        <v>0</v>
      </c>
      <c r="C66" s="25">
        <v>0</v>
      </c>
      <c r="D66" s="25">
        <v>0</v>
      </c>
      <c r="E66" s="25">
        <v>0</v>
      </c>
      <c r="F66" s="25">
        <v>3750</v>
      </c>
      <c r="G66" s="25">
        <v>1874</v>
      </c>
      <c r="H66" s="25">
        <v>2202</v>
      </c>
      <c r="I66" s="25">
        <v>-102</v>
      </c>
      <c r="J66" s="25">
        <v>293</v>
      </c>
      <c r="K66" s="25">
        <v>81</v>
      </c>
      <c r="L66" s="25">
        <v>192</v>
      </c>
      <c r="M66" s="25">
        <v>392</v>
      </c>
      <c r="N66" s="25">
        <v>-106</v>
      </c>
      <c r="O66" s="25">
        <v>456</v>
      </c>
      <c r="P66" s="25">
        <v>-244</v>
      </c>
      <c r="Q66" s="25">
        <v>-18</v>
      </c>
      <c r="R66" s="25">
        <v>-90</v>
      </c>
      <c r="S66" s="25">
        <v>292</v>
      </c>
      <c r="T66" s="25">
        <v>-701</v>
      </c>
      <c r="U66" s="25">
        <v>-94</v>
      </c>
      <c r="V66" s="25">
        <v>-44</v>
      </c>
      <c r="W66" s="25">
        <v>-123</v>
      </c>
      <c r="X66" s="25">
        <v>-95</v>
      </c>
      <c r="Y66" s="25">
        <v>-91</v>
      </c>
      <c r="Z66" s="25">
        <v>-50</v>
      </c>
      <c r="AA66" s="25">
        <v>-21</v>
      </c>
      <c r="AB66" s="25">
        <v>-22</v>
      </c>
      <c r="AC66" s="25">
        <v>-12</v>
      </c>
      <c r="AD66" s="25">
        <v>11</v>
      </c>
      <c r="AE66" s="25">
        <v>14</v>
      </c>
      <c r="AF66" s="25">
        <v>12</v>
      </c>
      <c r="AG66" s="25">
        <v>143</v>
      </c>
      <c r="AH66" s="25">
        <v>158</v>
      </c>
      <c r="AI66" s="25">
        <v>37</v>
      </c>
      <c r="AJ66" s="25">
        <v>-45</v>
      </c>
      <c r="AK66" s="25">
        <v>-42</v>
      </c>
      <c r="AL66" s="25">
        <v>-19</v>
      </c>
      <c r="AM66" s="25">
        <v>-44</v>
      </c>
      <c r="AN66" s="25">
        <v>-31</v>
      </c>
      <c r="AO66" s="25">
        <v>-16</v>
      </c>
      <c r="AP66" s="25">
        <v>-26</v>
      </c>
      <c r="AQ66" s="25">
        <v>-24</v>
      </c>
      <c r="AR66" s="25">
        <v>-35</v>
      </c>
    </row>
    <row r="67" spans="1:44" s="26" customFormat="1" x14ac:dyDescent="0.2">
      <c r="A67" s="36" t="s">
        <v>236</v>
      </c>
      <c r="B67" s="25">
        <v>-8</v>
      </c>
      <c r="C67" s="25">
        <v>3</v>
      </c>
      <c r="D67" s="25">
        <v>2</v>
      </c>
      <c r="E67" s="25">
        <v>6</v>
      </c>
      <c r="F67" s="25">
        <v>10</v>
      </c>
      <c r="G67" s="25">
        <v>4</v>
      </c>
      <c r="H67" s="25">
        <v>18</v>
      </c>
      <c r="I67" s="25">
        <v>7</v>
      </c>
      <c r="J67" s="25">
        <v>21</v>
      </c>
      <c r="K67" s="25">
        <v>-16</v>
      </c>
      <c r="L67" s="25">
        <v>-5</v>
      </c>
      <c r="M67" s="25">
        <v>2</v>
      </c>
      <c r="N67" s="25">
        <v>-6</v>
      </c>
      <c r="O67" s="25">
        <v>-2</v>
      </c>
      <c r="P67" s="25">
        <v>-7</v>
      </c>
      <c r="Q67" s="25">
        <v>-7</v>
      </c>
      <c r="R67" s="25">
        <v>5</v>
      </c>
      <c r="S67" s="25">
        <v>18</v>
      </c>
      <c r="T67" s="25">
        <v>17</v>
      </c>
      <c r="U67" s="25">
        <v>6</v>
      </c>
      <c r="V67" s="25">
        <v>6</v>
      </c>
      <c r="W67" s="25">
        <v>9</v>
      </c>
      <c r="X67" s="25">
        <v>-12</v>
      </c>
      <c r="Y67" s="25">
        <v>16</v>
      </c>
      <c r="Z67" s="25">
        <v>21</v>
      </c>
      <c r="AA67" s="25">
        <v>-9</v>
      </c>
      <c r="AB67" s="25">
        <v>14</v>
      </c>
      <c r="AC67" s="25">
        <v>16</v>
      </c>
      <c r="AD67" s="25">
        <v>33</v>
      </c>
      <c r="AE67" s="25">
        <v>10</v>
      </c>
      <c r="AF67" s="25">
        <v>-10</v>
      </c>
      <c r="AG67" s="25">
        <v>-10</v>
      </c>
      <c r="AH67" s="25">
        <v>-11</v>
      </c>
      <c r="AI67" s="25">
        <v>-15</v>
      </c>
      <c r="AJ67" s="25">
        <v>-20</v>
      </c>
      <c r="AK67" s="25">
        <v>-11</v>
      </c>
      <c r="AL67" s="25">
        <v>-19</v>
      </c>
      <c r="AM67" s="25">
        <v>-9</v>
      </c>
      <c r="AN67" s="25">
        <v>-1</v>
      </c>
      <c r="AO67" s="25">
        <v>-3</v>
      </c>
      <c r="AP67" s="25">
        <v>-2</v>
      </c>
      <c r="AQ67" s="25">
        <v>-9</v>
      </c>
      <c r="AR67" s="25">
        <v>-5</v>
      </c>
    </row>
    <row r="68" spans="1:44" s="26" customFormat="1" x14ac:dyDescent="0.2">
      <c r="A68" s="36" t="s">
        <v>238</v>
      </c>
      <c r="B68" s="25">
        <v>1</v>
      </c>
      <c r="C68" s="25">
        <v>300</v>
      </c>
      <c r="D68" s="25">
        <v>685</v>
      </c>
      <c r="E68" s="25">
        <v>553</v>
      </c>
      <c r="F68" s="25">
        <v>2852</v>
      </c>
      <c r="G68" s="25">
        <v>908</v>
      </c>
      <c r="H68" s="25">
        <v>1692</v>
      </c>
      <c r="I68" s="25">
        <v>-286</v>
      </c>
      <c r="J68" s="25">
        <v>-42</v>
      </c>
      <c r="K68" s="25">
        <v>79</v>
      </c>
      <c r="L68" s="25">
        <v>68</v>
      </c>
      <c r="M68" s="25">
        <v>54</v>
      </c>
      <c r="N68" s="25">
        <v>117</v>
      </c>
      <c r="O68" s="25">
        <v>-7</v>
      </c>
      <c r="P68" s="25">
        <v>-28</v>
      </c>
      <c r="Q68" s="25">
        <v>1</v>
      </c>
      <c r="R68" s="25">
        <v>-52</v>
      </c>
      <c r="S68" s="25">
        <v>-57</v>
      </c>
      <c r="T68" s="25">
        <v>-14</v>
      </c>
      <c r="U68" s="25">
        <v>-36</v>
      </c>
      <c r="V68" s="25">
        <v>45</v>
      </c>
      <c r="W68" s="25">
        <v>42</v>
      </c>
      <c r="X68" s="25">
        <v>-10</v>
      </c>
      <c r="Y68" s="25">
        <v>9</v>
      </c>
      <c r="Z68" s="25">
        <v>41</v>
      </c>
      <c r="AA68" s="25">
        <v>-4</v>
      </c>
      <c r="AB68" s="25">
        <v>-14</v>
      </c>
      <c r="AC68" s="25">
        <v>-18</v>
      </c>
      <c r="AD68" s="25">
        <v>47</v>
      </c>
      <c r="AE68" s="25">
        <v>46</v>
      </c>
      <c r="AF68" s="25">
        <v>9</v>
      </c>
      <c r="AG68" s="25">
        <v>39</v>
      </c>
      <c r="AH68" s="25">
        <v>-26</v>
      </c>
      <c r="AI68" s="25">
        <v>23</v>
      </c>
      <c r="AJ68" s="25">
        <v>50</v>
      </c>
      <c r="AK68" s="25">
        <v>47</v>
      </c>
      <c r="AL68" s="25">
        <v>9</v>
      </c>
      <c r="AM68" s="25">
        <v>-25</v>
      </c>
      <c r="AN68" s="25">
        <v>-40</v>
      </c>
      <c r="AO68" s="25">
        <v>-28</v>
      </c>
      <c r="AP68" s="25">
        <v>-2</v>
      </c>
      <c r="AQ68" s="25">
        <v>-46</v>
      </c>
      <c r="AR68" s="25">
        <v>-50</v>
      </c>
    </row>
    <row r="69" spans="1:44" s="26" customFormat="1" x14ac:dyDescent="0.2">
      <c r="A69" s="36" t="s">
        <v>239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3005</v>
      </c>
      <c r="L69" s="25">
        <v>20</v>
      </c>
      <c r="M69" s="25">
        <v>237</v>
      </c>
      <c r="N69" s="25">
        <v>-435</v>
      </c>
      <c r="O69" s="25">
        <v>-20</v>
      </c>
      <c r="P69" s="25">
        <v>-309</v>
      </c>
      <c r="Q69" s="25">
        <v>289</v>
      </c>
      <c r="R69" s="25">
        <v>-314</v>
      </c>
      <c r="S69" s="25">
        <v>152</v>
      </c>
      <c r="T69" s="25">
        <v>-41</v>
      </c>
      <c r="U69" s="25">
        <v>-567</v>
      </c>
      <c r="V69" s="25">
        <v>-1931</v>
      </c>
      <c r="W69" s="25">
        <v>-22</v>
      </c>
      <c r="X69" s="25">
        <v>-21</v>
      </c>
      <c r="Y69" s="25">
        <v>-18</v>
      </c>
      <c r="Z69" s="25">
        <v>-11</v>
      </c>
      <c r="AA69" s="25">
        <v>-10</v>
      </c>
      <c r="AB69" s="25">
        <v>-8</v>
      </c>
      <c r="AC69" s="25">
        <v>-2</v>
      </c>
      <c r="AD69" s="25">
        <v>-6</v>
      </c>
      <c r="AE69" s="25">
        <v>-1</v>
      </c>
      <c r="AF69" s="25">
        <v>-5</v>
      </c>
      <c r="AG69" s="25">
        <v>-3</v>
      </c>
      <c r="AH69" s="25">
        <v>-3</v>
      </c>
      <c r="AI69" s="25">
        <v>-6</v>
      </c>
      <c r="AJ69" s="25">
        <v>0</v>
      </c>
      <c r="AK69" s="25">
        <v>-2</v>
      </c>
      <c r="AL69" s="25">
        <v>-2</v>
      </c>
      <c r="AM69" s="25">
        <v>-2</v>
      </c>
      <c r="AN69" s="25">
        <v>-1</v>
      </c>
      <c r="AO69" s="25">
        <v>-3</v>
      </c>
      <c r="AP69" s="25">
        <v>0</v>
      </c>
      <c r="AQ69" s="25">
        <v>-2</v>
      </c>
      <c r="AR69" s="25">
        <v>-3</v>
      </c>
    </row>
    <row r="70" spans="1:44" s="26" customFormat="1" x14ac:dyDescent="0.2">
      <c r="A70" s="36" t="s">
        <v>60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8</v>
      </c>
      <c r="AI70" s="25">
        <v>7</v>
      </c>
      <c r="AJ70" s="25">
        <v>4</v>
      </c>
      <c r="AK70" s="25">
        <v>0</v>
      </c>
      <c r="AL70" s="25">
        <v>0</v>
      </c>
      <c r="AM70" s="25">
        <v>1</v>
      </c>
      <c r="AN70" s="25">
        <v>1</v>
      </c>
      <c r="AO70" s="25">
        <v>-3</v>
      </c>
      <c r="AP70" s="25">
        <v>-4</v>
      </c>
      <c r="AQ70" s="25">
        <v>-1</v>
      </c>
      <c r="AR70" s="25">
        <v>-1</v>
      </c>
    </row>
    <row r="71" spans="1:44" s="26" customFormat="1" x14ac:dyDescent="0.2">
      <c r="A71" s="36" t="s">
        <v>70</v>
      </c>
      <c r="B71" s="25">
        <v>-20</v>
      </c>
      <c r="C71" s="25">
        <v>0</v>
      </c>
      <c r="D71" s="25">
        <v>0</v>
      </c>
      <c r="E71" s="25">
        <v>0</v>
      </c>
      <c r="F71" s="25">
        <v>0</v>
      </c>
      <c r="G71" s="25">
        <v>1</v>
      </c>
      <c r="H71" s="25">
        <v>1</v>
      </c>
      <c r="I71" s="25">
        <v>1</v>
      </c>
      <c r="J71" s="25">
        <v>1</v>
      </c>
      <c r="K71" s="25">
        <v>-1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</row>
    <row r="72" spans="1:44" s="26" customFormat="1" x14ac:dyDescent="0.2">
      <c r="A72" s="36" t="s">
        <v>75</v>
      </c>
      <c r="B72" s="25">
        <v>0</v>
      </c>
      <c r="C72" s="25">
        <v>2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0</v>
      </c>
      <c r="AI72" s="25">
        <v>0</v>
      </c>
      <c r="AJ72" s="25">
        <v>0</v>
      </c>
      <c r="AK72" s="25">
        <v>0</v>
      </c>
      <c r="AL72" s="25">
        <v>0</v>
      </c>
      <c r="AM72" s="25">
        <v>0</v>
      </c>
      <c r="AN72" s="25">
        <v>0</v>
      </c>
      <c r="AO72" s="25">
        <v>0</v>
      </c>
      <c r="AP72" s="25">
        <v>0</v>
      </c>
      <c r="AQ72" s="25">
        <v>0</v>
      </c>
      <c r="AR72" s="25">
        <v>0</v>
      </c>
    </row>
    <row r="73" spans="1:44" s="26" customFormat="1" x14ac:dyDescent="0.2">
      <c r="A73" s="36" t="s">
        <v>240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1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</row>
    <row r="74" spans="1:44" s="26" customFormat="1" x14ac:dyDescent="0.2">
      <c r="A74" s="36" t="s">
        <v>89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9</v>
      </c>
      <c r="M74" s="25">
        <v>32</v>
      </c>
      <c r="N74" s="25">
        <v>-1</v>
      </c>
      <c r="O74" s="25">
        <v>-5</v>
      </c>
      <c r="P74" s="25">
        <v>-5</v>
      </c>
      <c r="Q74" s="25">
        <v>3</v>
      </c>
      <c r="R74" s="25">
        <v>-6</v>
      </c>
      <c r="S74" s="25">
        <v>-3</v>
      </c>
      <c r="T74" s="25">
        <v>-4</v>
      </c>
      <c r="U74" s="25">
        <v>-3</v>
      </c>
      <c r="V74" s="25">
        <v>-3</v>
      </c>
      <c r="W74" s="25">
        <v>-17</v>
      </c>
      <c r="X74" s="25">
        <v>-6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v>0</v>
      </c>
      <c r="AR74" s="25">
        <v>0</v>
      </c>
    </row>
    <row r="75" spans="1:44" s="29" customFormat="1" ht="12.5" thickBot="1" x14ac:dyDescent="0.25">
      <c r="A75" s="37" t="s">
        <v>61</v>
      </c>
      <c r="B75" s="40">
        <v>-42</v>
      </c>
      <c r="C75" s="40">
        <v>305</v>
      </c>
      <c r="D75" s="40">
        <v>699</v>
      </c>
      <c r="E75" s="40">
        <v>574</v>
      </c>
      <c r="F75" s="40">
        <v>6623</v>
      </c>
      <c r="G75" s="40">
        <v>2794</v>
      </c>
      <c r="H75" s="40">
        <v>3923</v>
      </c>
      <c r="I75" s="40">
        <v>-356</v>
      </c>
      <c r="J75" s="40">
        <v>297</v>
      </c>
      <c r="K75" s="40">
        <v>3144</v>
      </c>
      <c r="L75" s="40">
        <v>257</v>
      </c>
      <c r="M75" s="40">
        <v>687</v>
      </c>
      <c r="N75" s="40">
        <v>-461</v>
      </c>
      <c r="O75" s="40">
        <v>446</v>
      </c>
      <c r="P75" s="40">
        <v>-513</v>
      </c>
      <c r="Q75" s="40">
        <v>403</v>
      </c>
      <c r="R75" s="40">
        <v>-249</v>
      </c>
      <c r="S75" s="40">
        <v>561</v>
      </c>
      <c r="T75" s="40">
        <v>-584</v>
      </c>
      <c r="U75" s="40">
        <v>-548</v>
      </c>
      <c r="V75" s="40">
        <v>-1602</v>
      </c>
      <c r="W75" s="40">
        <v>168</v>
      </c>
      <c r="X75" s="40">
        <v>32</v>
      </c>
      <c r="Y75" s="40">
        <v>137</v>
      </c>
      <c r="Z75" s="40">
        <v>423</v>
      </c>
      <c r="AA75" s="40">
        <v>353</v>
      </c>
      <c r="AB75" s="40">
        <v>379</v>
      </c>
      <c r="AC75" s="40">
        <v>407</v>
      </c>
      <c r="AD75" s="40">
        <v>341</v>
      </c>
      <c r="AE75" s="40">
        <v>88</v>
      </c>
      <c r="AF75" s="40">
        <v>25</v>
      </c>
      <c r="AG75" s="40">
        <v>12</v>
      </c>
      <c r="AH75" s="40">
        <v>-142</v>
      </c>
      <c r="AI75" s="40">
        <v>-251</v>
      </c>
      <c r="AJ75" s="40">
        <v>-35</v>
      </c>
      <c r="AK75" s="40">
        <v>-17</v>
      </c>
      <c r="AL75" s="40">
        <v>-235</v>
      </c>
      <c r="AM75" s="40">
        <v>-431</v>
      </c>
      <c r="AN75" s="40">
        <v>-268</v>
      </c>
      <c r="AO75" s="40">
        <v>-243</v>
      </c>
      <c r="AP75" s="40">
        <v>-293</v>
      </c>
      <c r="AQ75" s="40">
        <v>-320</v>
      </c>
      <c r="AR75" s="40">
        <v>-273</v>
      </c>
    </row>
    <row r="77" spans="1:44" x14ac:dyDescent="0.2">
      <c r="A77" s="5"/>
      <c r="B77" s="6" t="s">
        <v>138</v>
      </c>
      <c r="C77" s="6" t="s">
        <v>139</v>
      </c>
      <c r="D77" s="6" t="s">
        <v>140</v>
      </c>
      <c r="E77" s="6" t="s">
        <v>141</v>
      </c>
      <c r="F77" s="6" t="s">
        <v>142</v>
      </c>
      <c r="G77" s="6" t="s">
        <v>143</v>
      </c>
      <c r="H77" s="6" t="s">
        <v>144</v>
      </c>
      <c r="I77" s="6" t="s">
        <v>145</v>
      </c>
      <c r="J77" s="6" t="s">
        <v>146</v>
      </c>
      <c r="K77" s="6" t="s">
        <v>150</v>
      </c>
      <c r="L77" s="6" t="s">
        <v>151</v>
      </c>
      <c r="M77" s="6" t="s">
        <v>152</v>
      </c>
      <c r="N77" s="6" t="s">
        <v>153</v>
      </c>
      <c r="O77" s="6" t="s">
        <v>154</v>
      </c>
      <c r="P77" s="6" t="s">
        <v>155</v>
      </c>
      <c r="Q77" s="6" t="s">
        <v>156</v>
      </c>
      <c r="R77" s="6" t="s">
        <v>157</v>
      </c>
      <c r="S77" s="6" t="s">
        <v>158</v>
      </c>
      <c r="T77" s="6" t="s">
        <v>159</v>
      </c>
      <c r="U77" s="6" t="s">
        <v>160</v>
      </c>
      <c r="V77" s="6" t="s">
        <v>161</v>
      </c>
      <c r="W77" s="6" t="s">
        <v>162</v>
      </c>
      <c r="X77" s="6" t="s">
        <v>163</v>
      </c>
      <c r="Y77" s="6" t="s">
        <v>164</v>
      </c>
      <c r="Z77" s="6" t="s">
        <v>165</v>
      </c>
      <c r="AA77" s="6" t="s">
        <v>166</v>
      </c>
      <c r="AB77" s="6" t="s">
        <v>167</v>
      </c>
      <c r="AC77" s="6" t="s">
        <v>168</v>
      </c>
      <c r="AD77" s="6" t="s">
        <v>169</v>
      </c>
      <c r="AE77" s="6" t="s">
        <v>170</v>
      </c>
      <c r="AF77" s="6" t="s">
        <v>171</v>
      </c>
      <c r="AG77" s="6" t="s">
        <v>172</v>
      </c>
      <c r="AH77" s="6" t="s">
        <v>173</v>
      </c>
      <c r="AI77" s="6" t="s">
        <v>174</v>
      </c>
      <c r="AJ77" s="6" t="s">
        <v>175</v>
      </c>
      <c r="AK77" s="6" t="s">
        <v>176</v>
      </c>
      <c r="AL77" s="6" t="s">
        <v>177</v>
      </c>
      <c r="AM77" s="6" t="s">
        <v>178</v>
      </c>
      <c r="AN77" s="6" t="s">
        <v>179</v>
      </c>
      <c r="AO77" s="6" t="s">
        <v>180</v>
      </c>
      <c r="AP77" s="6" t="s">
        <v>181</v>
      </c>
      <c r="AQ77" s="6" t="s">
        <v>182</v>
      </c>
      <c r="AR77" s="6" t="s">
        <v>183</v>
      </c>
    </row>
    <row r="78" spans="1:44" ht="24" x14ac:dyDescent="0.2">
      <c r="A78" s="61" t="s">
        <v>241</v>
      </c>
      <c r="B78" s="24">
        <f>B7+B8+B9+B10+B11+B12</f>
        <v>0</v>
      </c>
      <c r="C78" s="24">
        <f t="shared" ref="C78:AR78" si="0">C7+C8+C9+C10+C11+C12</f>
        <v>0</v>
      </c>
      <c r="D78" s="24">
        <f t="shared" si="0"/>
        <v>0</v>
      </c>
      <c r="E78" s="24">
        <f t="shared" si="0"/>
        <v>0</v>
      </c>
      <c r="F78" s="24">
        <f t="shared" si="0"/>
        <v>0</v>
      </c>
      <c r="G78" s="24">
        <f t="shared" si="0"/>
        <v>0</v>
      </c>
      <c r="H78" s="24">
        <f t="shared" si="0"/>
        <v>0</v>
      </c>
      <c r="I78" s="24">
        <f t="shared" si="0"/>
        <v>0</v>
      </c>
      <c r="J78" s="24">
        <f t="shared" si="0"/>
        <v>0</v>
      </c>
      <c r="K78" s="24">
        <f t="shared" si="0"/>
        <v>0</v>
      </c>
      <c r="L78" s="24">
        <f t="shared" si="0"/>
        <v>0</v>
      </c>
      <c r="M78" s="24">
        <f t="shared" si="0"/>
        <v>0</v>
      </c>
      <c r="N78" s="24">
        <f t="shared" si="0"/>
        <v>0</v>
      </c>
      <c r="O78" s="24">
        <f t="shared" si="0"/>
        <v>0</v>
      </c>
      <c r="P78" s="24">
        <f t="shared" si="0"/>
        <v>0</v>
      </c>
      <c r="Q78" s="24">
        <f t="shared" si="0"/>
        <v>0</v>
      </c>
      <c r="R78" s="24">
        <f t="shared" si="0"/>
        <v>0</v>
      </c>
      <c r="S78" s="24">
        <f t="shared" si="0"/>
        <v>0</v>
      </c>
      <c r="T78" s="24">
        <f t="shared" si="0"/>
        <v>0</v>
      </c>
      <c r="U78" s="24">
        <f t="shared" si="0"/>
        <v>0</v>
      </c>
      <c r="V78" s="24">
        <f t="shared" si="0"/>
        <v>0</v>
      </c>
      <c r="W78" s="24">
        <f t="shared" si="0"/>
        <v>0</v>
      </c>
      <c r="X78" s="24">
        <f t="shared" si="0"/>
        <v>150</v>
      </c>
      <c r="Y78" s="24">
        <f t="shared" si="0"/>
        <v>212</v>
      </c>
      <c r="Z78" s="24">
        <f t="shared" si="0"/>
        <v>396</v>
      </c>
      <c r="AA78" s="24">
        <f t="shared" si="0"/>
        <v>352</v>
      </c>
      <c r="AB78" s="24">
        <f t="shared" si="0"/>
        <v>366</v>
      </c>
      <c r="AC78" s="24">
        <f t="shared" si="0"/>
        <v>384</v>
      </c>
      <c r="AD78" s="24">
        <f t="shared" si="0"/>
        <v>240</v>
      </c>
      <c r="AE78" s="24">
        <f t="shared" si="0"/>
        <v>40</v>
      </c>
      <c r="AF78" s="24">
        <f t="shared" si="0"/>
        <v>43</v>
      </c>
      <c r="AG78" s="24">
        <f t="shared" si="0"/>
        <v>-24</v>
      </c>
      <c r="AH78" s="24">
        <f t="shared" si="0"/>
        <v>-187</v>
      </c>
      <c r="AI78" s="24">
        <f t="shared" si="0"/>
        <v>-230</v>
      </c>
      <c r="AJ78" s="24">
        <f t="shared" si="0"/>
        <v>10</v>
      </c>
      <c r="AK78" s="24">
        <f t="shared" si="0"/>
        <v>-47</v>
      </c>
      <c r="AL78" s="24">
        <f t="shared" si="0"/>
        <v>-171</v>
      </c>
      <c r="AM78" s="24">
        <f t="shared" si="0"/>
        <v>-324</v>
      </c>
      <c r="AN78" s="24">
        <f t="shared" si="0"/>
        <v>-175</v>
      </c>
      <c r="AO78" s="24">
        <f t="shared" si="0"/>
        <v>-178</v>
      </c>
      <c r="AP78" s="24">
        <f t="shared" si="0"/>
        <v>-252</v>
      </c>
      <c r="AQ78" s="24">
        <f t="shared" si="0"/>
        <v>-236</v>
      </c>
      <c r="AR78" s="24">
        <f t="shared" si="0"/>
        <v>-177</v>
      </c>
    </row>
    <row r="79" spans="1:44" x14ac:dyDescent="0.2">
      <c r="A79" s="61" t="s">
        <v>245</v>
      </c>
      <c r="B79" s="24">
        <f>B38+B47+B48+B49+B50</f>
        <v>0</v>
      </c>
      <c r="C79" s="24">
        <f t="shared" ref="C79:AR79" si="1">C38+C47+C48+C49+C50</f>
        <v>0</v>
      </c>
      <c r="D79" s="24">
        <f t="shared" si="1"/>
        <v>0</v>
      </c>
      <c r="E79" s="24">
        <f t="shared" si="1"/>
        <v>0</v>
      </c>
      <c r="F79" s="24">
        <f t="shared" si="1"/>
        <v>12</v>
      </c>
      <c r="G79" s="24">
        <f t="shared" si="1"/>
        <v>1</v>
      </c>
      <c r="H79" s="24">
        <f t="shared" si="1"/>
        <v>3</v>
      </c>
      <c r="I79" s="24">
        <f t="shared" si="1"/>
        <v>0</v>
      </c>
      <c r="J79" s="24">
        <f t="shared" si="1"/>
        <v>3</v>
      </c>
      <c r="K79" s="24">
        <f t="shared" si="1"/>
        <v>3084</v>
      </c>
      <c r="L79" s="24">
        <f t="shared" si="1"/>
        <v>88</v>
      </c>
      <c r="M79" s="24">
        <f t="shared" si="1"/>
        <v>291</v>
      </c>
      <c r="N79" s="24">
        <f t="shared" si="1"/>
        <v>-318</v>
      </c>
      <c r="O79" s="24">
        <f t="shared" si="1"/>
        <v>-27</v>
      </c>
      <c r="P79" s="24">
        <f t="shared" si="1"/>
        <v>-337</v>
      </c>
      <c r="Q79" s="24">
        <f t="shared" si="1"/>
        <v>290</v>
      </c>
      <c r="R79" s="24">
        <f t="shared" si="1"/>
        <v>-366</v>
      </c>
      <c r="S79" s="24">
        <f t="shared" si="1"/>
        <v>95</v>
      </c>
      <c r="T79" s="24">
        <f t="shared" si="1"/>
        <v>-55</v>
      </c>
      <c r="U79" s="24">
        <f t="shared" si="1"/>
        <v>-603</v>
      </c>
      <c r="V79" s="24">
        <f t="shared" si="1"/>
        <v>-1886</v>
      </c>
      <c r="W79" s="24">
        <f t="shared" si="1"/>
        <v>20</v>
      </c>
      <c r="X79" s="24">
        <f t="shared" si="1"/>
        <v>-21</v>
      </c>
      <c r="Y79" s="24">
        <f t="shared" si="1"/>
        <v>-18</v>
      </c>
      <c r="Z79" s="24">
        <f t="shared" si="1"/>
        <v>-11</v>
      </c>
      <c r="AA79" s="24">
        <f t="shared" si="1"/>
        <v>-10</v>
      </c>
      <c r="AB79" s="24">
        <f t="shared" si="1"/>
        <v>-8</v>
      </c>
      <c r="AC79" s="24">
        <f t="shared" si="1"/>
        <v>-2</v>
      </c>
      <c r="AD79" s="24">
        <f t="shared" si="1"/>
        <v>-6</v>
      </c>
      <c r="AE79" s="24">
        <f t="shared" si="1"/>
        <v>-1</v>
      </c>
      <c r="AF79" s="24">
        <f t="shared" si="1"/>
        <v>-5</v>
      </c>
      <c r="AG79" s="24">
        <f t="shared" si="1"/>
        <v>-3</v>
      </c>
      <c r="AH79" s="24">
        <f t="shared" si="1"/>
        <v>-3</v>
      </c>
      <c r="AI79" s="24">
        <f t="shared" si="1"/>
        <v>-6</v>
      </c>
      <c r="AJ79" s="24">
        <f t="shared" si="1"/>
        <v>0</v>
      </c>
      <c r="AK79" s="24">
        <f t="shared" si="1"/>
        <v>-2</v>
      </c>
      <c r="AL79" s="24">
        <f t="shared" si="1"/>
        <v>-2</v>
      </c>
      <c r="AM79" s="24">
        <f t="shared" si="1"/>
        <v>-2</v>
      </c>
      <c r="AN79" s="24">
        <f t="shared" si="1"/>
        <v>-1</v>
      </c>
      <c r="AO79" s="24">
        <f t="shared" si="1"/>
        <v>-3</v>
      </c>
      <c r="AP79" s="24">
        <f t="shared" si="1"/>
        <v>0</v>
      </c>
      <c r="AQ79" s="24">
        <f t="shared" si="1"/>
        <v>-2</v>
      </c>
      <c r="AR79" s="24">
        <f t="shared" si="1"/>
        <v>-3</v>
      </c>
    </row>
    <row r="80" spans="1:44" x14ac:dyDescent="0.2">
      <c r="A80" s="61" t="s">
        <v>246</v>
      </c>
      <c r="B80" s="24">
        <f>B75-B78-B79</f>
        <v>-42</v>
      </c>
      <c r="C80" s="24">
        <f t="shared" ref="C80:AR80" si="2">C75-C78-C79</f>
        <v>305</v>
      </c>
      <c r="D80" s="24">
        <f t="shared" si="2"/>
        <v>699</v>
      </c>
      <c r="E80" s="24">
        <f t="shared" si="2"/>
        <v>574</v>
      </c>
      <c r="F80" s="24">
        <f t="shared" si="2"/>
        <v>6611</v>
      </c>
      <c r="G80" s="24">
        <f t="shared" si="2"/>
        <v>2793</v>
      </c>
      <c r="H80" s="24">
        <f t="shared" si="2"/>
        <v>3920</v>
      </c>
      <c r="I80" s="24">
        <f t="shared" si="2"/>
        <v>-356</v>
      </c>
      <c r="J80" s="24">
        <f t="shared" si="2"/>
        <v>294</v>
      </c>
      <c r="K80" s="24">
        <f t="shared" si="2"/>
        <v>60</v>
      </c>
      <c r="L80" s="24">
        <f t="shared" si="2"/>
        <v>169</v>
      </c>
      <c r="M80" s="24">
        <f t="shared" si="2"/>
        <v>396</v>
      </c>
      <c r="N80" s="24">
        <f t="shared" si="2"/>
        <v>-143</v>
      </c>
      <c r="O80" s="24">
        <f t="shared" si="2"/>
        <v>473</v>
      </c>
      <c r="P80" s="24">
        <f t="shared" si="2"/>
        <v>-176</v>
      </c>
      <c r="Q80" s="24">
        <f t="shared" si="2"/>
        <v>113</v>
      </c>
      <c r="R80" s="24">
        <f t="shared" si="2"/>
        <v>117</v>
      </c>
      <c r="S80" s="24">
        <f t="shared" si="2"/>
        <v>466</v>
      </c>
      <c r="T80" s="24">
        <f t="shared" si="2"/>
        <v>-529</v>
      </c>
      <c r="U80" s="24">
        <f t="shared" si="2"/>
        <v>55</v>
      </c>
      <c r="V80" s="24">
        <f t="shared" si="2"/>
        <v>284</v>
      </c>
      <c r="W80" s="24">
        <f t="shared" si="2"/>
        <v>148</v>
      </c>
      <c r="X80" s="24">
        <f t="shared" si="2"/>
        <v>-97</v>
      </c>
      <c r="Y80" s="24">
        <f t="shared" si="2"/>
        <v>-57</v>
      </c>
      <c r="Z80" s="24">
        <f t="shared" si="2"/>
        <v>38</v>
      </c>
      <c r="AA80" s="24">
        <f t="shared" si="2"/>
        <v>11</v>
      </c>
      <c r="AB80" s="24">
        <f t="shared" si="2"/>
        <v>21</v>
      </c>
      <c r="AC80" s="24">
        <f t="shared" si="2"/>
        <v>25</v>
      </c>
      <c r="AD80" s="24">
        <f t="shared" si="2"/>
        <v>107</v>
      </c>
      <c r="AE80" s="24">
        <f t="shared" si="2"/>
        <v>49</v>
      </c>
      <c r="AF80" s="24">
        <f t="shared" si="2"/>
        <v>-13</v>
      </c>
      <c r="AG80" s="24">
        <f t="shared" si="2"/>
        <v>39</v>
      </c>
      <c r="AH80" s="24">
        <f t="shared" si="2"/>
        <v>48</v>
      </c>
      <c r="AI80" s="24">
        <f t="shared" si="2"/>
        <v>-15</v>
      </c>
      <c r="AJ80" s="24">
        <f t="shared" si="2"/>
        <v>-45</v>
      </c>
      <c r="AK80" s="24">
        <f t="shared" si="2"/>
        <v>32</v>
      </c>
      <c r="AL80" s="24">
        <f t="shared" si="2"/>
        <v>-62</v>
      </c>
      <c r="AM80" s="24">
        <f t="shared" si="2"/>
        <v>-105</v>
      </c>
      <c r="AN80" s="24">
        <f t="shared" si="2"/>
        <v>-92</v>
      </c>
      <c r="AO80" s="24">
        <f t="shared" si="2"/>
        <v>-62</v>
      </c>
      <c r="AP80" s="24">
        <f t="shared" si="2"/>
        <v>-41</v>
      </c>
      <c r="AQ80" s="24">
        <f t="shared" si="2"/>
        <v>-82</v>
      </c>
      <c r="AR80" s="24">
        <f t="shared" si="2"/>
        <v>-93</v>
      </c>
    </row>
    <row r="84" spans="1:44" x14ac:dyDescent="0.2">
      <c r="A84" s="12" t="s">
        <v>234</v>
      </c>
    </row>
    <row r="85" spans="1:44" ht="12.5" thickBot="1" x14ac:dyDescent="0.25">
      <c r="A85" s="12"/>
      <c r="B85" s="6" t="s">
        <v>138</v>
      </c>
      <c r="C85" s="6" t="s">
        <v>139</v>
      </c>
      <c r="D85" s="6" t="s">
        <v>140</v>
      </c>
      <c r="E85" s="6" t="s">
        <v>141</v>
      </c>
      <c r="F85" s="6" t="s">
        <v>142</v>
      </c>
      <c r="G85" s="6" t="s">
        <v>143</v>
      </c>
      <c r="H85" s="6" t="s">
        <v>144</v>
      </c>
      <c r="I85" s="6" t="s">
        <v>145</v>
      </c>
      <c r="J85" s="6" t="s">
        <v>146</v>
      </c>
      <c r="K85" s="6" t="s">
        <v>150</v>
      </c>
      <c r="L85" s="6" t="s">
        <v>151</v>
      </c>
      <c r="M85" s="6" t="s">
        <v>152</v>
      </c>
      <c r="N85" s="6" t="s">
        <v>153</v>
      </c>
      <c r="O85" s="6" t="s">
        <v>154</v>
      </c>
      <c r="P85" s="6" t="s">
        <v>155</v>
      </c>
      <c r="Q85" s="6" t="s">
        <v>156</v>
      </c>
      <c r="R85" s="6" t="s">
        <v>157</v>
      </c>
      <c r="S85" s="6" t="s">
        <v>158</v>
      </c>
      <c r="T85" s="6" t="s">
        <v>159</v>
      </c>
      <c r="U85" s="6" t="s">
        <v>160</v>
      </c>
      <c r="V85" s="6" t="s">
        <v>161</v>
      </c>
      <c r="W85" s="6" t="s">
        <v>162</v>
      </c>
      <c r="X85" s="6" t="s">
        <v>163</v>
      </c>
      <c r="Y85" s="6" t="s">
        <v>164</v>
      </c>
      <c r="Z85" s="6" t="s">
        <v>165</v>
      </c>
      <c r="AA85" s="6" t="s">
        <v>166</v>
      </c>
      <c r="AB85" s="6" t="s">
        <v>167</v>
      </c>
      <c r="AC85" s="6" t="s">
        <v>168</v>
      </c>
      <c r="AD85" s="6" t="s">
        <v>169</v>
      </c>
      <c r="AE85" s="6" t="s">
        <v>170</v>
      </c>
      <c r="AF85" s="6" t="s">
        <v>171</v>
      </c>
      <c r="AG85" s="6" t="s">
        <v>172</v>
      </c>
      <c r="AH85" s="6" t="s">
        <v>173</v>
      </c>
      <c r="AI85" s="6" t="s">
        <v>174</v>
      </c>
      <c r="AJ85" s="6" t="s">
        <v>175</v>
      </c>
      <c r="AK85" s="6" t="s">
        <v>176</v>
      </c>
      <c r="AL85" s="6" t="s">
        <v>177</v>
      </c>
      <c r="AM85" s="6" t="s">
        <v>178</v>
      </c>
      <c r="AN85" s="6" t="s">
        <v>179</v>
      </c>
      <c r="AO85" s="6" t="s">
        <v>180</v>
      </c>
      <c r="AP85" s="6" t="s">
        <v>181</v>
      </c>
      <c r="AQ85" s="6" t="s">
        <v>182</v>
      </c>
      <c r="AR85" s="6" t="s">
        <v>183</v>
      </c>
    </row>
    <row r="86" spans="1:44" x14ac:dyDescent="0.2">
      <c r="A86" s="34" t="s">
        <v>32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</row>
    <row r="87" spans="1:44" x14ac:dyDescent="0.2">
      <c r="A87" s="35" t="s">
        <v>72</v>
      </c>
      <c r="B87" s="24">
        <v>-1046800</v>
      </c>
      <c r="C87" s="24">
        <v>6000000</v>
      </c>
      <c r="D87" s="24">
        <v>3580000</v>
      </c>
      <c r="E87" s="24">
        <v>4700000</v>
      </c>
      <c r="F87" s="24">
        <v>997000</v>
      </c>
      <c r="G87" s="24">
        <v>-1326100</v>
      </c>
      <c r="H87" s="24">
        <v>-863000</v>
      </c>
      <c r="I87" s="24">
        <v>11977826</v>
      </c>
      <c r="J87" s="24">
        <v>10617638</v>
      </c>
      <c r="K87" s="24">
        <v>273000</v>
      </c>
      <c r="L87" s="24">
        <v>-6206299</v>
      </c>
      <c r="M87" s="24">
        <v>-7874625</v>
      </c>
      <c r="N87" s="24">
        <v>-9442043</v>
      </c>
      <c r="O87" s="24">
        <v>62033751</v>
      </c>
      <c r="P87" s="24">
        <v>149872717</v>
      </c>
      <c r="Q87" s="24">
        <v>271984285</v>
      </c>
      <c r="R87" s="24">
        <v>404879977</v>
      </c>
      <c r="S87" s="24">
        <v>318361461</v>
      </c>
      <c r="T87" s="24">
        <v>315688707</v>
      </c>
      <c r="U87" s="24">
        <v>238209320</v>
      </c>
      <c r="V87" s="24">
        <v>581292656</v>
      </c>
      <c r="W87" s="24">
        <v>423908901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</row>
    <row r="88" spans="1:44" x14ac:dyDescent="0.2">
      <c r="A88" s="35" t="s">
        <v>109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-10257016</v>
      </c>
      <c r="Y88" s="24">
        <v>-6218046</v>
      </c>
      <c r="Z88" s="24">
        <v>-2611638</v>
      </c>
      <c r="AA88" s="24">
        <v>-1992918</v>
      </c>
      <c r="AB88" s="24">
        <v>-1124296</v>
      </c>
      <c r="AC88" s="24">
        <v>-628418</v>
      </c>
      <c r="AD88" s="24">
        <v>-615348</v>
      </c>
      <c r="AE88" s="24">
        <v>-464742</v>
      </c>
      <c r="AF88" s="24">
        <v>-20228</v>
      </c>
      <c r="AG88" s="24">
        <v>0</v>
      </c>
      <c r="AH88" s="24">
        <v>0</v>
      </c>
      <c r="AI88" s="24">
        <v>0</v>
      </c>
      <c r="AJ88" s="24">
        <v>0</v>
      </c>
      <c r="AK88" s="24">
        <v>0</v>
      </c>
      <c r="AL88" s="24">
        <v>0</v>
      </c>
      <c r="AM88" s="24">
        <v>0</v>
      </c>
      <c r="AN88" s="24">
        <v>0</v>
      </c>
      <c r="AO88" s="24">
        <v>0</v>
      </c>
      <c r="AP88" s="24">
        <v>0</v>
      </c>
      <c r="AQ88" s="24">
        <v>0</v>
      </c>
      <c r="AR88" s="24">
        <v>0</v>
      </c>
    </row>
    <row r="89" spans="1:44" ht="24" x14ac:dyDescent="0.2">
      <c r="A89" s="35" t="s">
        <v>33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0</v>
      </c>
      <c r="AI89" s="24">
        <v>0</v>
      </c>
      <c r="AJ89" s="24">
        <v>0</v>
      </c>
      <c r="AK89" s="24">
        <v>27272638</v>
      </c>
      <c r="AL89" s="24">
        <v>-11923888</v>
      </c>
      <c r="AM89" s="24">
        <v>-6161884</v>
      </c>
      <c r="AN89" s="24">
        <v>-4067658</v>
      </c>
      <c r="AO89" s="24">
        <v>-2458739</v>
      </c>
      <c r="AP89" s="24">
        <v>-1063532</v>
      </c>
      <c r="AQ89" s="24">
        <v>-379249</v>
      </c>
      <c r="AR89" s="24">
        <v>-243804</v>
      </c>
    </row>
    <row r="90" spans="1:44" x14ac:dyDescent="0.2">
      <c r="A90" s="35" t="s">
        <v>34</v>
      </c>
      <c r="B90" s="24">
        <v>0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109874578</v>
      </c>
      <c r="Y90" s="24">
        <v>358782282</v>
      </c>
      <c r="Z90" s="24">
        <v>363008817</v>
      </c>
      <c r="AA90" s="24">
        <v>711830506</v>
      </c>
      <c r="AB90" s="24">
        <v>547068753</v>
      </c>
      <c r="AC90" s="24">
        <v>489381684</v>
      </c>
      <c r="AD90" s="24">
        <v>241631381</v>
      </c>
      <c r="AE90" s="24">
        <v>33960942</v>
      </c>
      <c r="AF90" s="24">
        <v>-72849470</v>
      </c>
      <c r="AG90" s="24">
        <v>-197736696</v>
      </c>
      <c r="AH90" s="24">
        <v>-568472243</v>
      </c>
      <c r="AI90" s="24">
        <v>-499339580</v>
      </c>
      <c r="AJ90" s="24">
        <v>-352140461</v>
      </c>
      <c r="AK90" s="24">
        <v>-423761720</v>
      </c>
      <c r="AL90" s="24">
        <v>-330433694</v>
      </c>
      <c r="AM90" s="24">
        <v>-327667265</v>
      </c>
      <c r="AN90" s="24">
        <v>-210815527</v>
      </c>
      <c r="AO90" s="24">
        <v>-155962759</v>
      </c>
      <c r="AP90" s="24">
        <v>-136649636</v>
      </c>
      <c r="AQ90" s="24">
        <v>-157847743</v>
      </c>
      <c r="AR90" s="24">
        <v>-66419192</v>
      </c>
    </row>
    <row r="91" spans="1:44" x14ac:dyDescent="0.2">
      <c r="A91" s="35" t="s">
        <v>35</v>
      </c>
      <c r="B91" s="24">
        <v>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204095</v>
      </c>
      <c r="Z91" s="24">
        <v>-120431</v>
      </c>
      <c r="AA91" s="24">
        <v>-83664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</row>
    <row r="92" spans="1:44" x14ac:dyDescent="0.2">
      <c r="A92" s="35" t="s">
        <v>36</v>
      </c>
      <c r="B92" s="24">
        <v>0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-18409727</v>
      </c>
      <c r="Y92" s="24">
        <v>12074476</v>
      </c>
      <c r="Z92" s="24">
        <v>-7898472</v>
      </c>
      <c r="AA92" s="24">
        <v>-12733968</v>
      </c>
      <c r="AB92" s="24">
        <v>-21836601</v>
      </c>
      <c r="AC92" s="24">
        <v>-23266898</v>
      </c>
      <c r="AD92" s="24">
        <v>-10874843</v>
      </c>
      <c r="AE92" s="24">
        <v>-14535772</v>
      </c>
      <c r="AF92" s="24">
        <v>-10732036</v>
      </c>
      <c r="AG92" s="24">
        <v>-10216843</v>
      </c>
      <c r="AH92" s="24">
        <v>-9880760</v>
      </c>
      <c r="AI92" s="24">
        <v>105162570</v>
      </c>
      <c r="AJ92" s="24">
        <v>-15349368</v>
      </c>
      <c r="AK92" s="24">
        <v>177792611</v>
      </c>
      <c r="AL92" s="24">
        <v>-64247033</v>
      </c>
      <c r="AM92" s="24">
        <v>-52246403</v>
      </c>
      <c r="AN92" s="24">
        <v>-51865175</v>
      </c>
      <c r="AO92" s="24">
        <v>-32009961</v>
      </c>
      <c r="AP92" s="24">
        <v>-26861808</v>
      </c>
      <c r="AQ92" s="24">
        <v>-28961385</v>
      </c>
      <c r="AR92" s="24">
        <v>-13309378</v>
      </c>
    </row>
    <row r="93" spans="1:44" x14ac:dyDescent="0.2">
      <c r="A93" s="35" t="s">
        <v>37</v>
      </c>
      <c r="B93" s="24">
        <v>0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141879790</v>
      </c>
      <c r="Y93" s="24">
        <v>17742957</v>
      </c>
      <c r="Z93" s="24">
        <v>437627129</v>
      </c>
      <c r="AA93" s="24">
        <v>-33638283</v>
      </c>
      <c r="AB93" s="24">
        <v>134714680</v>
      </c>
      <c r="AC93" s="24">
        <v>68215764</v>
      </c>
      <c r="AD93" s="24">
        <v>-38036574</v>
      </c>
      <c r="AE93" s="24">
        <v>-177353494</v>
      </c>
      <c r="AF93" s="24">
        <v>-168513932</v>
      </c>
      <c r="AG93" s="24">
        <v>-65589630</v>
      </c>
      <c r="AH93" s="24">
        <v>-233101492</v>
      </c>
      <c r="AI93" s="24">
        <v>-261011745</v>
      </c>
      <c r="AJ93" s="24">
        <v>-14714051</v>
      </c>
      <c r="AK93" s="24">
        <v>-191596250</v>
      </c>
      <c r="AL93" s="24">
        <v>-102592808</v>
      </c>
      <c r="AM93" s="24">
        <v>-105270776</v>
      </c>
      <c r="AN93" s="24">
        <v>-39999431</v>
      </c>
      <c r="AO93" s="24">
        <v>-43095644</v>
      </c>
      <c r="AP93" s="24">
        <v>-47753946</v>
      </c>
      <c r="AQ93" s="24">
        <v>-25533397</v>
      </c>
      <c r="AR93" s="24">
        <v>2450696</v>
      </c>
    </row>
    <row r="94" spans="1:44" x14ac:dyDescent="0.2">
      <c r="A94" s="35" t="s">
        <v>38</v>
      </c>
      <c r="B94" s="24">
        <v>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1060000</v>
      </c>
      <c r="AI94" s="24">
        <v>16555119</v>
      </c>
      <c r="AJ94" s="24">
        <v>60392807</v>
      </c>
      <c r="AK94" s="24">
        <v>38826997</v>
      </c>
      <c r="AL94" s="24">
        <v>46974692</v>
      </c>
      <c r="AM94" s="24">
        <v>26905603</v>
      </c>
      <c r="AN94" s="24">
        <v>17238692</v>
      </c>
      <c r="AO94" s="24">
        <v>2926696</v>
      </c>
      <c r="AP94" s="24">
        <v>-22279355</v>
      </c>
      <c r="AQ94" s="24">
        <v>-19985422</v>
      </c>
      <c r="AR94" s="24">
        <v>-23616082</v>
      </c>
    </row>
    <row r="95" spans="1:44" x14ac:dyDescent="0.2">
      <c r="A95" s="35" t="s">
        <v>39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11466293</v>
      </c>
      <c r="AK95" s="24">
        <v>30588610</v>
      </c>
      <c r="AL95" s="24">
        <v>37734234</v>
      </c>
      <c r="AM95" s="24">
        <v>-15982300</v>
      </c>
      <c r="AN95" s="24">
        <v>-2847917</v>
      </c>
      <c r="AO95" s="24">
        <v>-13528329</v>
      </c>
      <c r="AP95" s="24">
        <v>-17125462</v>
      </c>
      <c r="AQ95" s="24">
        <v>-5704034</v>
      </c>
      <c r="AR95" s="24">
        <v>323717</v>
      </c>
    </row>
    <row r="96" spans="1:44" x14ac:dyDescent="0.2">
      <c r="A96" s="35" t="s">
        <v>40</v>
      </c>
      <c r="B96" s="24">
        <v>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19608448</v>
      </c>
      <c r="Y96" s="24">
        <v>32698837</v>
      </c>
      <c r="Z96" s="24">
        <v>5771813</v>
      </c>
      <c r="AA96" s="24">
        <v>-26475580</v>
      </c>
      <c r="AB96" s="24">
        <v>-23601461</v>
      </c>
      <c r="AC96" s="24">
        <v>-19871756</v>
      </c>
      <c r="AD96" s="24">
        <v>-5744598</v>
      </c>
      <c r="AE96" s="24">
        <v>-4828890</v>
      </c>
      <c r="AF96" s="24">
        <v>-10172066</v>
      </c>
      <c r="AG96" s="24">
        <v>-41440243</v>
      </c>
      <c r="AH96" s="24">
        <v>-28259746</v>
      </c>
      <c r="AI96" s="24">
        <v>-12995463</v>
      </c>
      <c r="AJ96" s="24">
        <v>-9686866</v>
      </c>
      <c r="AK96" s="24">
        <v>-3822938</v>
      </c>
      <c r="AL96" s="24">
        <v>-2341322</v>
      </c>
      <c r="AM96" s="24">
        <v>-1076058</v>
      </c>
      <c r="AN96" s="24">
        <v>-806725</v>
      </c>
      <c r="AO96" s="24">
        <v>-521003</v>
      </c>
      <c r="AP96" s="24">
        <v>-120339</v>
      </c>
      <c r="AQ96" s="24">
        <v>0</v>
      </c>
      <c r="AR96" s="24">
        <v>0</v>
      </c>
    </row>
    <row r="97" spans="1:44" x14ac:dyDescent="0.2">
      <c r="A97" s="35" t="s">
        <v>41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823483</v>
      </c>
      <c r="Y97" s="24">
        <v>-4762894</v>
      </c>
      <c r="Z97" s="24">
        <v>664556</v>
      </c>
      <c r="AA97" s="24">
        <v>-4367291</v>
      </c>
      <c r="AB97" s="24">
        <v>-6697668</v>
      </c>
      <c r="AC97" s="24">
        <v>1149107</v>
      </c>
      <c r="AD97" s="24">
        <v>1566606</v>
      </c>
      <c r="AE97" s="24">
        <v>-3655077</v>
      </c>
      <c r="AF97" s="24">
        <v>814489</v>
      </c>
      <c r="AG97" s="24">
        <v>-8268303</v>
      </c>
      <c r="AH97" s="24">
        <v>-5648310</v>
      </c>
      <c r="AI97" s="24">
        <v>-3593458</v>
      </c>
      <c r="AJ97" s="24">
        <v>-2054743</v>
      </c>
      <c r="AK97" s="24">
        <v>-3476807</v>
      </c>
      <c r="AL97" s="24">
        <v>-205259</v>
      </c>
      <c r="AM97" s="24">
        <v>-228743</v>
      </c>
      <c r="AN97" s="24">
        <v>-29504</v>
      </c>
      <c r="AO97" s="24">
        <v>-78807</v>
      </c>
      <c r="AP97" s="24">
        <v>-82838</v>
      </c>
      <c r="AQ97" s="24">
        <v>-87074</v>
      </c>
      <c r="AR97" s="24">
        <v>-91530</v>
      </c>
    </row>
    <row r="98" spans="1:44" x14ac:dyDescent="0.2">
      <c r="A98" s="35" t="s">
        <v>42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115107982</v>
      </c>
      <c r="AB98" s="24">
        <v>125712338</v>
      </c>
      <c r="AC98" s="24">
        <v>45763201</v>
      </c>
      <c r="AD98" s="24">
        <v>9869230</v>
      </c>
      <c r="AE98" s="24">
        <v>-46399778</v>
      </c>
      <c r="AF98" s="24">
        <v>-31632145</v>
      </c>
      <c r="AG98" s="24">
        <v>-63902791</v>
      </c>
      <c r="AH98" s="24">
        <v>-44897129</v>
      </c>
      <c r="AI98" s="24">
        <v>-34632969</v>
      </c>
      <c r="AJ98" s="24">
        <v>-23212999</v>
      </c>
      <c r="AK98" s="24">
        <v>-18649959</v>
      </c>
      <c r="AL98" s="24">
        <v>-11573013</v>
      </c>
      <c r="AM98" s="24">
        <v>-8492738</v>
      </c>
      <c r="AN98" s="24">
        <v>-3585490</v>
      </c>
      <c r="AO98" s="24">
        <v>-1554034</v>
      </c>
      <c r="AP98" s="24">
        <v>-1047432</v>
      </c>
      <c r="AQ98" s="24">
        <v>-1083114</v>
      </c>
      <c r="AR98" s="24">
        <v>-1260767</v>
      </c>
    </row>
    <row r="99" spans="1:44" s="26" customFormat="1" x14ac:dyDescent="0.2">
      <c r="A99" s="36" t="s">
        <v>73</v>
      </c>
      <c r="B99" s="25">
        <v>-1046800</v>
      </c>
      <c r="C99" s="25">
        <v>6000000</v>
      </c>
      <c r="D99" s="25">
        <v>3580000</v>
      </c>
      <c r="E99" s="25">
        <v>4700000</v>
      </c>
      <c r="F99" s="25">
        <v>997000</v>
      </c>
      <c r="G99" s="25">
        <v>-1326100</v>
      </c>
      <c r="H99" s="25">
        <v>-863000</v>
      </c>
      <c r="I99" s="25">
        <v>11977826</v>
      </c>
      <c r="J99" s="25">
        <v>10617638</v>
      </c>
      <c r="K99" s="25">
        <v>273000</v>
      </c>
      <c r="L99" s="25">
        <v>-6206299</v>
      </c>
      <c r="M99" s="25">
        <v>-7874625</v>
      </c>
      <c r="N99" s="25">
        <v>-9442043</v>
      </c>
      <c r="O99" s="25">
        <v>62033751</v>
      </c>
      <c r="P99" s="25">
        <v>149872717</v>
      </c>
      <c r="Q99" s="25">
        <v>271984285</v>
      </c>
      <c r="R99" s="25">
        <v>404879977</v>
      </c>
      <c r="S99" s="25">
        <v>318361461</v>
      </c>
      <c r="T99" s="25">
        <v>315688707</v>
      </c>
      <c r="U99" s="25">
        <v>238209320</v>
      </c>
      <c r="V99" s="25">
        <v>581292656</v>
      </c>
      <c r="W99" s="25">
        <v>423908901</v>
      </c>
      <c r="X99" s="25">
        <v>243519556</v>
      </c>
      <c r="Y99" s="25">
        <v>410521707</v>
      </c>
      <c r="Z99" s="25">
        <v>796441774</v>
      </c>
      <c r="AA99" s="25">
        <v>747646784</v>
      </c>
      <c r="AB99" s="25">
        <v>754235745</v>
      </c>
      <c r="AC99" s="25">
        <v>560742684</v>
      </c>
      <c r="AD99" s="25">
        <v>197795854</v>
      </c>
      <c r="AE99" s="25">
        <v>-213276811</v>
      </c>
      <c r="AF99" s="25">
        <v>-293105388</v>
      </c>
      <c r="AG99" s="25">
        <v>-387154506</v>
      </c>
      <c r="AH99" s="25">
        <v>-889199680</v>
      </c>
      <c r="AI99" s="25">
        <v>-689855526</v>
      </c>
      <c r="AJ99" s="25">
        <v>-345299388</v>
      </c>
      <c r="AK99" s="25">
        <v>-366826818</v>
      </c>
      <c r="AL99" s="25">
        <v>-438608091</v>
      </c>
      <c r="AM99" s="25">
        <v>-490220564</v>
      </c>
      <c r="AN99" s="25">
        <v>-296778735</v>
      </c>
      <c r="AO99" s="25">
        <v>-246282580</v>
      </c>
      <c r="AP99" s="25">
        <v>-252984348</v>
      </c>
      <c r="AQ99" s="25">
        <v>-239581418</v>
      </c>
      <c r="AR99" s="25">
        <v>-102166340</v>
      </c>
    </row>
    <row r="100" spans="1:44" x14ac:dyDescent="0.2">
      <c r="A100" s="35" t="s">
        <v>90</v>
      </c>
      <c r="B100" s="24">
        <v>0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966000</v>
      </c>
      <c r="L100" s="24">
        <v>17793320</v>
      </c>
      <c r="M100" s="24">
        <v>27126166</v>
      </c>
      <c r="N100" s="24">
        <v>5352790</v>
      </c>
      <c r="O100" s="24">
        <v>42389606</v>
      </c>
      <c r="P100" s="24">
        <v>16331891</v>
      </c>
      <c r="Q100" s="24">
        <v>1465027</v>
      </c>
      <c r="R100" s="24">
        <v>-17767943</v>
      </c>
      <c r="S100" s="24">
        <v>-31426061</v>
      </c>
      <c r="T100" s="24">
        <v>-9026964</v>
      </c>
      <c r="U100" s="24">
        <v>-2460370</v>
      </c>
      <c r="V100" s="24">
        <v>-11378317</v>
      </c>
      <c r="W100" s="24">
        <v>-18384274</v>
      </c>
      <c r="X100" s="24">
        <v>-5511984</v>
      </c>
      <c r="Y100" s="24">
        <v>-5683900</v>
      </c>
      <c r="Z100" s="24">
        <v>-864300</v>
      </c>
      <c r="AA100" s="24">
        <v>-979200</v>
      </c>
      <c r="AB100" s="24">
        <v>-85600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</row>
    <row r="101" spans="1:44" x14ac:dyDescent="0.2">
      <c r="A101" s="35" t="s">
        <v>43</v>
      </c>
      <c r="B101" s="24">
        <v>0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1237813</v>
      </c>
      <c r="AE101" s="24">
        <v>2842212</v>
      </c>
      <c r="AF101" s="24">
        <v>1403996</v>
      </c>
      <c r="AG101" s="24">
        <v>-3137878</v>
      </c>
      <c r="AH101" s="24">
        <v>-835096</v>
      </c>
      <c r="AI101" s="24">
        <v>-834599</v>
      </c>
      <c r="AJ101" s="24">
        <v>-320789</v>
      </c>
      <c r="AK101" s="24">
        <v>-106345</v>
      </c>
      <c r="AL101" s="24">
        <v>-21037</v>
      </c>
      <c r="AM101" s="24">
        <v>-44451</v>
      </c>
      <c r="AN101" s="24">
        <v>-83437</v>
      </c>
      <c r="AO101" s="24">
        <v>-100389</v>
      </c>
      <c r="AP101" s="24">
        <v>0</v>
      </c>
      <c r="AQ101" s="24">
        <v>0</v>
      </c>
      <c r="AR101" s="24">
        <v>0</v>
      </c>
    </row>
    <row r="102" spans="1:44" x14ac:dyDescent="0.2">
      <c r="A102" s="35" t="s">
        <v>44</v>
      </c>
      <c r="B102" s="24">
        <v>0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-808643</v>
      </c>
      <c r="AK102" s="24">
        <v>-587142</v>
      </c>
      <c r="AL102" s="24">
        <v>223632</v>
      </c>
      <c r="AM102" s="24">
        <v>-305436</v>
      </c>
      <c r="AN102" s="24">
        <v>-260183</v>
      </c>
      <c r="AO102" s="24">
        <v>-61524</v>
      </c>
      <c r="AP102" s="24">
        <v>0</v>
      </c>
      <c r="AQ102" s="24">
        <v>0</v>
      </c>
      <c r="AR102" s="24">
        <v>0</v>
      </c>
    </row>
    <row r="103" spans="1:44" x14ac:dyDescent="0.2">
      <c r="A103" s="35" t="s">
        <v>45</v>
      </c>
      <c r="B103" s="24">
        <v>0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8477541</v>
      </c>
      <c r="AE103" s="24">
        <v>8562750</v>
      </c>
      <c r="AF103" s="24">
        <v>6188903</v>
      </c>
      <c r="AG103" s="24">
        <v>-6508707</v>
      </c>
      <c r="AH103" s="24">
        <v>16206599</v>
      </c>
      <c r="AI103" s="24">
        <v>13459082</v>
      </c>
      <c r="AJ103" s="24">
        <v>-4599556</v>
      </c>
      <c r="AK103" s="24">
        <v>2229588</v>
      </c>
      <c r="AL103" s="24">
        <v>2246644</v>
      </c>
      <c r="AM103" s="24">
        <v>-9361427</v>
      </c>
      <c r="AN103" s="24">
        <v>-7898096</v>
      </c>
      <c r="AO103" s="24">
        <v>-5165788</v>
      </c>
      <c r="AP103" s="24">
        <v>-5182093</v>
      </c>
      <c r="AQ103" s="24">
        <v>-1962015</v>
      </c>
      <c r="AR103" s="24">
        <v>-5684629</v>
      </c>
    </row>
    <row r="104" spans="1:44" x14ac:dyDescent="0.2">
      <c r="A104" s="35" t="s">
        <v>46</v>
      </c>
      <c r="B104" s="24">
        <v>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4">
        <v>0</v>
      </c>
      <c r="X104" s="24">
        <v>0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2000000</v>
      </c>
      <c r="AE104" s="24">
        <v>778994</v>
      </c>
      <c r="AF104" s="24">
        <v>1132723</v>
      </c>
      <c r="AG104" s="24">
        <v>-890426</v>
      </c>
      <c r="AH104" s="24">
        <v>-1375416</v>
      </c>
      <c r="AI104" s="24">
        <v>-1605163</v>
      </c>
      <c r="AJ104" s="24">
        <v>-40712</v>
      </c>
      <c r="AK104" s="24">
        <v>0</v>
      </c>
      <c r="AL104" s="24">
        <v>0</v>
      </c>
      <c r="AM104" s="24">
        <v>0</v>
      </c>
      <c r="AN104" s="24">
        <v>0</v>
      </c>
      <c r="AO104" s="24">
        <v>0</v>
      </c>
      <c r="AP104" s="24">
        <v>0</v>
      </c>
      <c r="AQ104" s="24">
        <v>0</v>
      </c>
      <c r="AR104" s="24">
        <v>0</v>
      </c>
    </row>
    <row r="105" spans="1:44" ht="24" x14ac:dyDescent="0.2">
      <c r="A105" s="35" t="s">
        <v>47</v>
      </c>
      <c r="B105" s="24">
        <v>0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118326792</v>
      </c>
      <c r="AH105" s="24">
        <v>23839350</v>
      </c>
      <c r="AI105" s="24">
        <v>-30532460</v>
      </c>
      <c r="AJ105" s="24">
        <v>-33639453</v>
      </c>
      <c r="AK105" s="24">
        <v>-25555541</v>
      </c>
      <c r="AL105" s="24">
        <v>-9625996</v>
      </c>
      <c r="AM105" s="24">
        <v>-10071096</v>
      </c>
      <c r="AN105" s="24">
        <v>15563824</v>
      </c>
      <c r="AO105" s="24">
        <v>300620</v>
      </c>
      <c r="AP105" s="24">
        <v>-482559</v>
      </c>
      <c r="AQ105" s="24">
        <v>-10055103</v>
      </c>
      <c r="AR105" s="24">
        <v>1416843</v>
      </c>
    </row>
    <row r="106" spans="1:44" x14ac:dyDescent="0.2">
      <c r="A106" s="35" t="s">
        <v>48</v>
      </c>
      <c r="B106" s="24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493283</v>
      </c>
      <c r="AE106" s="24">
        <v>346241</v>
      </c>
      <c r="AF106" s="24">
        <v>405802</v>
      </c>
      <c r="AG106" s="24">
        <v>-689628</v>
      </c>
      <c r="AH106" s="24">
        <v>-447522</v>
      </c>
      <c r="AI106" s="24">
        <v>-108176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</row>
    <row r="107" spans="1:44" x14ac:dyDescent="0.2">
      <c r="A107" s="35" t="s">
        <v>49</v>
      </c>
      <c r="B107" s="24">
        <v>0</v>
      </c>
      <c r="C107" s="24">
        <v>0</v>
      </c>
      <c r="D107" s="24">
        <v>0</v>
      </c>
      <c r="E107" s="24">
        <v>0</v>
      </c>
      <c r="F107" s="24">
        <v>43798000</v>
      </c>
      <c r="G107" s="24">
        <v>2185327</v>
      </c>
      <c r="H107" s="24">
        <v>2147379</v>
      </c>
      <c r="I107" s="24">
        <v>-952503</v>
      </c>
      <c r="J107" s="24">
        <v>7789095</v>
      </c>
      <c r="K107" s="24">
        <v>-18640000</v>
      </c>
      <c r="L107" s="24">
        <v>-18184776</v>
      </c>
      <c r="M107" s="24">
        <v>19135053</v>
      </c>
      <c r="N107" s="24">
        <v>81587427</v>
      </c>
      <c r="O107" s="24">
        <v>33250366</v>
      </c>
      <c r="P107" s="24">
        <v>56154167</v>
      </c>
      <c r="Q107" s="24">
        <v>-24843373</v>
      </c>
      <c r="R107" s="24">
        <v>-66313889</v>
      </c>
      <c r="S107" s="24">
        <v>-81383066</v>
      </c>
      <c r="T107" s="24">
        <v>-54697393</v>
      </c>
      <c r="U107" s="24">
        <v>-32793544</v>
      </c>
      <c r="V107" s="24">
        <v>-15042700</v>
      </c>
      <c r="W107" s="24">
        <v>-12927000</v>
      </c>
      <c r="X107" s="24">
        <v>-4922800</v>
      </c>
      <c r="Y107" s="24">
        <v>-982400</v>
      </c>
      <c r="Z107" s="24">
        <v>6449000</v>
      </c>
      <c r="AA107" s="24">
        <v>-850933</v>
      </c>
      <c r="AB107" s="24">
        <v>-568048</v>
      </c>
      <c r="AC107" s="24">
        <v>-3866594</v>
      </c>
      <c r="AD107" s="24">
        <v>-2593931</v>
      </c>
      <c r="AE107" s="24">
        <v>-3057788</v>
      </c>
      <c r="AF107" s="24">
        <v>4190832</v>
      </c>
      <c r="AG107" s="24">
        <v>-11572595</v>
      </c>
      <c r="AH107" s="24">
        <v>50964054</v>
      </c>
      <c r="AI107" s="24">
        <v>45245519</v>
      </c>
      <c r="AJ107" s="24">
        <v>27323377</v>
      </c>
      <c r="AK107" s="24">
        <v>42148598</v>
      </c>
      <c r="AL107" s="24">
        <v>12992615</v>
      </c>
      <c r="AM107" s="24">
        <v>-5378757</v>
      </c>
      <c r="AN107" s="24">
        <v>-9000292</v>
      </c>
      <c r="AO107" s="24">
        <v>3153180</v>
      </c>
      <c r="AP107" s="24">
        <v>-36501255</v>
      </c>
      <c r="AQ107" s="24">
        <v>-9515690</v>
      </c>
      <c r="AR107" s="24">
        <v>-19117360</v>
      </c>
    </row>
    <row r="108" spans="1:44" x14ac:dyDescent="0.2">
      <c r="A108" s="35" t="s">
        <v>111</v>
      </c>
      <c r="B108" s="24">
        <v>0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4">
        <v>0</v>
      </c>
      <c r="X108" s="24">
        <v>-1262026</v>
      </c>
      <c r="Y108" s="24">
        <v>-245500</v>
      </c>
      <c r="Z108" s="24">
        <v>64200</v>
      </c>
      <c r="AA108" s="24">
        <v>-403800</v>
      </c>
      <c r="AB108" s="24">
        <v>-29400</v>
      </c>
      <c r="AC108" s="24">
        <v>0</v>
      </c>
      <c r="AD108" s="24">
        <v>0</v>
      </c>
      <c r="AE108" s="24">
        <v>0</v>
      </c>
      <c r="AF108" s="24">
        <v>0</v>
      </c>
      <c r="AG108" s="24">
        <v>0</v>
      </c>
      <c r="AH108" s="24">
        <v>0</v>
      </c>
      <c r="AI108" s="24">
        <v>0</v>
      </c>
      <c r="AJ108" s="24">
        <v>0</v>
      </c>
      <c r="AK108" s="24">
        <v>0</v>
      </c>
      <c r="AL108" s="24">
        <v>0</v>
      </c>
      <c r="AM108" s="24">
        <v>0</v>
      </c>
      <c r="AN108" s="24">
        <v>0</v>
      </c>
      <c r="AO108" s="24">
        <v>0</v>
      </c>
      <c r="AP108" s="24">
        <v>0</v>
      </c>
      <c r="AQ108" s="24">
        <v>0</v>
      </c>
      <c r="AR108" s="24">
        <v>0</v>
      </c>
    </row>
    <row r="109" spans="1:44" ht="24" x14ac:dyDescent="0.2">
      <c r="A109" s="35" t="s">
        <v>91</v>
      </c>
      <c r="B109" s="24">
        <v>0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327132</v>
      </c>
      <c r="Y109" s="24">
        <v>-6362204</v>
      </c>
      <c r="Z109" s="24">
        <v>-9299311</v>
      </c>
      <c r="AA109" s="24">
        <v>-11329</v>
      </c>
      <c r="AB109" s="24">
        <v>-4867107</v>
      </c>
      <c r="AC109" s="24">
        <v>-8173607</v>
      </c>
      <c r="AD109" s="24">
        <v>-1254040</v>
      </c>
      <c r="AE109" s="24">
        <v>-819448</v>
      </c>
      <c r="AF109" s="24">
        <v>-1427659</v>
      </c>
      <c r="AG109" s="24">
        <v>-5235890</v>
      </c>
      <c r="AH109" s="24">
        <v>-5006397</v>
      </c>
      <c r="AI109" s="24">
        <v>-3644026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</row>
    <row r="110" spans="1:44" x14ac:dyDescent="0.2">
      <c r="A110" s="35" t="s">
        <v>110</v>
      </c>
      <c r="B110" s="24">
        <v>0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-250467</v>
      </c>
      <c r="Y110" s="24">
        <v>-310300</v>
      </c>
      <c r="Z110" s="24">
        <v>-7900</v>
      </c>
      <c r="AA110" s="24">
        <v>-390000</v>
      </c>
      <c r="AB110" s="24">
        <v>-182000</v>
      </c>
      <c r="AC110" s="24">
        <v>-85000</v>
      </c>
      <c r="AD110" s="24">
        <v>0</v>
      </c>
      <c r="AE110" s="24">
        <v>0</v>
      </c>
      <c r="AF110" s="24">
        <v>0</v>
      </c>
      <c r="AG110" s="24">
        <v>0</v>
      </c>
      <c r="AH110" s="24">
        <v>0</v>
      </c>
      <c r="AI110" s="24">
        <v>0</v>
      </c>
      <c r="AJ110" s="24">
        <v>0</v>
      </c>
      <c r="AK110" s="24">
        <v>0</v>
      </c>
      <c r="AL110" s="24">
        <v>0</v>
      </c>
      <c r="AM110" s="24">
        <v>0</v>
      </c>
      <c r="AN110" s="24">
        <v>0</v>
      </c>
      <c r="AO110" s="24">
        <v>0</v>
      </c>
      <c r="AP110" s="24">
        <v>0</v>
      </c>
      <c r="AQ110" s="24">
        <v>0</v>
      </c>
      <c r="AR110" s="24">
        <v>0</v>
      </c>
    </row>
    <row r="111" spans="1:44" x14ac:dyDescent="0.2">
      <c r="A111" s="35" t="s">
        <v>112</v>
      </c>
      <c r="B111" s="24">
        <v>0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-657000</v>
      </c>
      <c r="Y111" s="24">
        <v>-574600</v>
      </c>
      <c r="Z111" s="24">
        <v>-213400</v>
      </c>
      <c r="AA111" s="24">
        <v>-181000</v>
      </c>
      <c r="AB111" s="24">
        <v>-6000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0</v>
      </c>
      <c r="AI111" s="24">
        <v>0</v>
      </c>
      <c r="AJ111" s="24">
        <v>0</v>
      </c>
      <c r="AK111" s="24">
        <v>0</v>
      </c>
      <c r="AL111" s="24">
        <v>0</v>
      </c>
      <c r="AM111" s="24">
        <v>0</v>
      </c>
      <c r="AN111" s="24">
        <v>0</v>
      </c>
      <c r="AO111" s="24">
        <v>0</v>
      </c>
      <c r="AP111" s="24">
        <v>0</v>
      </c>
      <c r="AQ111" s="24">
        <v>0</v>
      </c>
      <c r="AR111" s="24">
        <v>0</v>
      </c>
    </row>
    <row r="112" spans="1:44" x14ac:dyDescent="0.2">
      <c r="A112" s="35" t="s">
        <v>113</v>
      </c>
      <c r="B112" s="24">
        <v>0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-33875</v>
      </c>
      <c r="Y112" s="24">
        <v>127430</v>
      </c>
      <c r="Z112" s="24">
        <v>-177850</v>
      </c>
      <c r="AA112" s="24">
        <v>-54950</v>
      </c>
      <c r="AB112" s="24">
        <v>0</v>
      </c>
      <c r="AC112" s="24">
        <v>0</v>
      </c>
      <c r="AD112" s="24">
        <v>0</v>
      </c>
      <c r="AE112" s="24">
        <v>0</v>
      </c>
      <c r="AF112" s="24">
        <v>0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4">
        <v>0</v>
      </c>
      <c r="AO112" s="24">
        <v>0</v>
      </c>
      <c r="AP112" s="24">
        <v>0</v>
      </c>
      <c r="AQ112" s="24">
        <v>0</v>
      </c>
      <c r="AR112" s="24">
        <v>0</v>
      </c>
    </row>
    <row r="113" spans="1:44" s="26" customFormat="1" x14ac:dyDescent="0.2">
      <c r="A113" s="36" t="s">
        <v>73</v>
      </c>
      <c r="B113" s="25">
        <v>0</v>
      </c>
      <c r="C113" s="25">
        <v>0</v>
      </c>
      <c r="D113" s="25">
        <v>0</v>
      </c>
      <c r="E113" s="25">
        <v>0</v>
      </c>
      <c r="F113" s="25">
        <v>43798000</v>
      </c>
      <c r="G113" s="25">
        <v>2185327</v>
      </c>
      <c r="H113" s="25">
        <v>2147379</v>
      </c>
      <c r="I113" s="25">
        <v>-952503</v>
      </c>
      <c r="J113" s="25">
        <v>7789095</v>
      </c>
      <c r="K113" s="25">
        <v>-17674000</v>
      </c>
      <c r="L113" s="25">
        <v>-391456</v>
      </c>
      <c r="M113" s="25">
        <v>46261219</v>
      </c>
      <c r="N113" s="25">
        <v>86940217</v>
      </c>
      <c r="O113" s="25">
        <v>75639972</v>
      </c>
      <c r="P113" s="25">
        <v>72486058</v>
      </c>
      <c r="Q113" s="25">
        <v>-23378346</v>
      </c>
      <c r="R113" s="25">
        <v>-84081832</v>
      </c>
      <c r="S113" s="25">
        <v>-112809127</v>
      </c>
      <c r="T113" s="25">
        <v>-63724357</v>
      </c>
      <c r="U113" s="25">
        <v>-35253914</v>
      </c>
      <c r="V113" s="25">
        <v>-26421017</v>
      </c>
      <c r="W113" s="25">
        <v>-31311274</v>
      </c>
      <c r="X113" s="25">
        <v>-12311020</v>
      </c>
      <c r="Y113" s="25">
        <v>-14031474</v>
      </c>
      <c r="Z113" s="25">
        <v>-4049561</v>
      </c>
      <c r="AA113" s="25">
        <v>-2871212</v>
      </c>
      <c r="AB113" s="25">
        <v>-5738155</v>
      </c>
      <c r="AC113" s="25">
        <v>-12125201</v>
      </c>
      <c r="AD113" s="25">
        <v>8360666</v>
      </c>
      <c r="AE113" s="25">
        <v>8652961</v>
      </c>
      <c r="AF113" s="25">
        <v>11894597</v>
      </c>
      <c r="AG113" s="25">
        <v>90291668</v>
      </c>
      <c r="AH113" s="25">
        <v>83345572</v>
      </c>
      <c r="AI113" s="25">
        <v>21980177</v>
      </c>
      <c r="AJ113" s="25">
        <v>-12085776</v>
      </c>
      <c r="AK113" s="25">
        <v>18129158</v>
      </c>
      <c r="AL113" s="25">
        <v>5815858</v>
      </c>
      <c r="AM113" s="25">
        <v>-25161167</v>
      </c>
      <c r="AN113" s="25">
        <v>-1678184</v>
      </c>
      <c r="AO113" s="25">
        <v>-1873901</v>
      </c>
      <c r="AP113" s="25">
        <v>-42165907</v>
      </c>
      <c r="AQ113" s="25">
        <v>-21532808</v>
      </c>
      <c r="AR113" s="25">
        <v>-23385146</v>
      </c>
    </row>
    <row r="114" spans="1:44" x14ac:dyDescent="0.2">
      <c r="A114" s="35" t="s">
        <v>50</v>
      </c>
      <c r="B114" s="24">
        <v>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24">
        <v>5822106</v>
      </c>
      <c r="Z114" s="24">
        <v>-12152885</v>
      </c>
      <c r="AA114" s="24">
        <v>15092849</v>
      </c>
      <c r="AB114" s="24">
        <v>149653620</v>
      </c>
      <c r="AC114" s="24">
        <v>159455376</v>
      </c>
      <c r="AD114" s="24">
        <v>292477800</v>
      </c>
      <c r="AE114" s="24">
        <v>212092790</v>
      </c>
      <c r="AF114" s="24">
        <v>22426215</v>
      </c>
      <c r="AG114" s="24">
        <v>-54341994</v>
      </c>
      <c r="AH114" s="24">
        <v>-74075855</v>
      </c>
      <c r="AI114" s="24">
        <v>-72148740</v>
      </c>
      <c r="AJ114" s="24">
        <v>-111400789</v>
      </c>
      <c r="AK114" s="24">
        <v>-80031490</v>
      </c>
      <c r="AL114" s="24">
        <v>-61594182</v>
      </c>
      <c r="AM114" s="24">
        <v>-40370129</v>
      </c>
      <c r="AN114" s="24">
        <v>-30653008</v>
      </c>
      <c r="AO114" s="24">
        <v>-37566263</v>
      </c>
      <c r="AP114" s="24">
        <v>-20000978</v>
      </c>
      <c r="AQ114" s="24">
        <v>-44391718</v>
      </c>
      <c r="AR114" s="24">
        <v>-25525141</v>
      </c>
    </row>
    <row r="115" spans="1:44" x14ac:dyDescent="0.2">
      <c r="A115" s="35" t="s">
        <v>114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-29748125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N115" s="24">
        <v>0</v>
      </c>
      <c r="AO115" s="24">
        <v>0</v>
      </c>
      <c r="AP115" s="24">
        <v>0</v>
      </c>
      <c r="AQ115" s="24">
        <v>0</v>
      </c>
      <c r="AR115" s="24">
        <v>0</v>
      </c>
    </row>
    <row r="116" spans="1:44" x14ac:dyDescent="0.2">
      <c r="A116" s="35" t="s">
        <v>51</v>
      </c>
      <c r="B116" s="24">
        <v>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-91335347</v>
      </c>
      <c r="Y116" s="24">
        <v>54943528</v>
      </c>
      <c r="Z116" s="24">
        <v>13217175</v>
      </c>
      <c r="AA116" s="24">
        <v>-58541882</v>
      </c>
      <c r="AB116" s="24">
        <v>23658919</v>
      </c>
      <c r="AC116" s="24">
        <v>-13879291</v>
      </c>
      <c r="AD116" s="24">
        <v>-63427502</v>
      </c>
      <c r="AE116" s="24">
        <v>-147365494</v>
      </c>
      <c r="AF116" s="24">
        <v>-103657478</v>
      </c>
      <c r="AG116" s="24">
        <v>-31611102</v>
      </c>
      <c r="AH116" s="24">
        <v>-5316958</v>
      </c>
      <c r="AI116" s="24">
        <v>-38315369</v>
      </c>
      <c r="AJ116" s="24">
        <v>-4567755</v>
      </c>
      <c r="AK116" s="24">
        <v>-4950940</v>
      </c>
      <c r="AL116" s="24">
        <v>-8609634</v>
      </c>
      <c r="AM116" s="24">
        <v>-2341438</v>
      </c>
      <c r="AN116" s="24">
        <v>-789932</v>
      </c>
      <c r="AO116" s="24">
        <v>0</v>
      </c>
      <c r="AP116" s="24">
        <v>0</v>
      </c>
      <c r="AQ116" s="24">
        <v>0</v>
      </c>
      <c r="AR116" s="24">
        <v>0</v>
      </c>
    </row>
    <row r="117" spans="1:44" x14ac:dyDescent="0.2">
      <c r="A117" s="35" t="s">
        <v>52</v>
      </c>
      <c r="B117" s="24">
        <v>0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4">
        <v>0</v>
      </c>
      <c r="X117" s="24">
        <v>25833415</v>
      </c>
      <c r="Y117" s="24">
        <v>54401614</v>
      </c>
      <c r="Z117" s="24">
        <v>16125004</v>
      </c>
      <c r="AA117" s="24">
        <v>-26888969</v>
      </c>
      <c r="AB117" s="24">
        <v>-39789510</v>
      </c>
      <c r="AC117" s="24">
        <v>-43342859</v>
      </c>
      <c r="AD117" s="24">
        <v>-20718205</v>
      </c>
      <c r="AE117" s="24">
        <v>-23282703</v>
      </c>
      <c r="AF117" s="24">
        <v>-15748403</v>
      </c>
      <c r="AG117" s="24">
        <v>-12247233</v>
      </c>
      <c r="AH117" s="24">
        <v>-6572277</v>
      </c>
      <c r="AI117" s="24">
        <v>-3396866</v>
      </c>
      <c r="AJ117" s="24">
        <v>-1205952</v>
      </c>
      <c r="AK117" s="24">
        <v>-1472473</v>
      </c>
      <c r="AL117" s="24">
        <v>-1640262</v>
      </c>
      <c r="AM117" s="24">
        <v>-1592591</v>
      </c>
      <c r="AN117" s="24">
        <v>0</v>
      </c>
      <c r="AO117" s="24">
        <v>-525078</v>
      </c>
      <c r="AP117" s="24">
        <v>-34910</v>
      </c>
      <c r="AQ117" s="24">
        <v>-124415</v>
      </c>
      <c r="AR117" s="24">
        <v>-131360</v>
      </c>
    </row>
    <row r="118" spans="1:44" x14ac:dyDescent="0.2">
      <c r="A118" s="35" t="s">
        <v>71</v>
      </c>
      <c r="B118" s="24">
        <v>26649773</v>
      </c>
      <c r="C118" s="24">
        <v>15000000</v>
      </c>
      <c r="D118" s="24">
        <v>6700000</v>
      </c>
      <c r="E118" s="24">
        <v>27990000</v>
      </c>
      <c r="F118" s="24">
        <v>10025000</v>
      </c>
      <c r="G118" s="24">
        <v>2611557</v>
      </c>
      <c r="H118" s="24">
        <v>-1493198</v>
      </c>
      <c r="I118" s="24">
        <v>18119769</v>
      </c>
      <c r="J118" s="24">
        <v>59227726</v>
      </c>
      <c r="K118" s="24">
        <v>-3299000</v>
      </c>
      <c r="L118" s="24">
        <v>-100287419</v>
      </c>
      <c r="M118" s="24">
        <v>14149455</v>
      </c>
      <c r="N118" s="24">
        <v>-18596783</v>
      </c>
      <c r="O118" s="24">
        <v>40164972</v>
      </c>
      <c r="P118" s="24">
        <v>-7425293</v>
      </c>
      <c r="Q118" s="24">
        <v>48853623</v>
      </c>
      <c r="R118" s="24">
        <v>106317585</v>
      </c>
      <c r="S118" s="24">
        <v>178660658</v>
      </c>
      <c r="T118" s="24">
        <v>116812743</v>
      </c>
      <c r="U118" s="24">
        <v>16230663</v>
      </c>
      <c r="V118" s="24">
        <v>12966523</v>
      </c>
      <c r="W118" s="24">
        <v>64630984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</row>
    <row r="119" spans="1:44" x14ac:dyDescent="0.2">
      <c r="A119" s="35" t="s">
        <v>82</v>
      </c>
      <c r="B119" s="24">
        <v>0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5804176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0</v>
      </c>
      <c r="W119" s="24">
        <v>0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0</v>
      </c>
      <c r="AJ119" s="24">
        <v>0</v>
      </c>
      <c r="AK119" s="24">
        <v>0</v>
      </c>
      <c r="AL119" s="24">
        <v>0</v>
      </c>
      <c r="AM119" s="24">
        <v>0</v>
      </c>
      <c r="AN119" s="24">
        <v>0</v>
      </c>
      <c r="AO119" s="24">
        <v>0</v>
      </c>
      <c r="AP119" s="24">
        <v>0</v>
      </c>
      <c r="AQ119" s="24">
        <v>0</v>
      </c>
      <c r="AR119" s="24">
        <v>0</v>
      </c>
    </row>
    <row r="120" spans="1:44" s="26" customFormat="1" x14ac:dyDescent="0.2">
      <c r="A120" s="36" t="s">
        <v>73</v>
      </c>
      <c r="B120" s="25">
        <v>26649773</v>
      </c>
      <c r="C120" s="25">
        <v>15000000</v>
      </c>
      <c r="D120" s="25">
        <v>6700000</v>
      </c>
      <c r="E120" s="25">
        <v>27990000</v>
      </c>
      <c r="F120" s="25">
        <v>10025000</v>
      </c>
      <c r="G120" s="25">
        <v>2611557</v>
      </c>
      <c r="H120" s="25">
        <v>4310978</v>
      </c>
      <c r="I120" s="25">
        <v>18119769</v>
      </c>
      <c r="J120" s="25">
        <v>59227726</v>
      </c>
      <c r="K120" s="25">
        <v>-3299000</v>
      </c>
      <c r="L120" s="25">
        <v>-100287419</v>
      </c>
      <c r="M120" s="25">
        <v>14149455</v>
      </c>
      <c r="N120" s="25">
        <v>-18596783</v>
      </c>
      <c r="O120" s="25">
        <v>40164972</v>
      </c>
      <c r="P120" s="25">
        <v>-7425293</v>
      </c>
      <c r="Q120" s="25">
        <v>48853623</v>
      </c>
      <c r="R120" s="25">
        <v>106317585</v>
      </c>
      <c r="S120" s="25">
        <v>178660658</v>
      </c>
      <c r="T120" s="25">
        <v>116812743</v>
      </c>
      <c r="U120" s="25">
        <v>16230663</v>
      </c>
      <c r="V120" s="25">
        <v>12966523</v>
      </c>
      <c r="W120" s="25">
        <v>64630984</v>
      </c>
      <c r="X120" s="25">
        <v>-95250057</v>
      </c>
      <c r="Y120" s="25">
        <v>115167248</v>
      </c>
      <c r="Z120" s="25">
        <v>17189294</v>
      </c>
      <c r="AA120" s="25">
        <v>-70338002</v>
      </c>
      <c r="AB120" s="25">
        <v>133523029</v>
      </c>
      <c r="AC120" s="25">
        <v>102233226</v>
      </c>
      <c r="AD120" s="25">
        <v>208332093</v>
      </c>
      <c r="AE120" s="25">
        <v>41444593</v>
      </c>
      <c r="AF120" s="25">
        <v>-96979666</v>
      </c>
      <c r="AG120" s="25">
        <v>-98200329</v>
      </c>
      <c r="AH120" s="25">
        <v>-85965090</v>
      </c>
      <c r="AI120" s="25">
        <v>-113860975</v>
      </c>
      <c r="AJ120" s="25">
        <v>-117174496</v>
      </c>
      <c r="AK120" s="25">
        <v>-86454903</v>
      </c>
      <c r="AL120" s="25">
        <v>-71844078</v>
      </c>
      <c r="AM120" s="25">
        <v>-44304158</v>
      </c>
      <c r="AN120" s="25">
        <v>-31442940</v>
      </c>
      <c r="AO120" s="25">
        <v>-38091341</v>
      </c>
      <c r="AP120" s="25">
        <v>-20035888</v>
      </c>
      <c r="AQ120" s="25">
        <v>-44516133</v>
      </c>
      <c r="AR120" s="25">
        <v>-25656501</v>
      </c>
    </row>
    <row r="121" spans="1:44" ht="24" x14ac:dyDescent="0.2">
      <c r="A121" s="35" t="s">
        <v>87</v>
      </c>
      <c r="B121" s="24">
        <v>0</v>
      </c>
      <c r="C121" s="24">
        <v>0</v>
      </c>
      <c r="D121" s="24">
        <v>0</v>
      </c>
      <c r="E121" s="24">
        <v>0</v>
      </c>
      <c r="F121" s="24">
        <v>11101000</v>
      </c>
      <c r="G121" s="24">
        <v>457204</v>
      </c>
      <c r="H121" s="24">
        <v>1618897</v>
      </c>
      <c r="I121" s="24">
        <v>-242280</v>
      </c>
      <c r="J121" s="24">
        <v>2548842</v>
      </c>
      <c r="K121" s="24">
        <v>19104000</v>
      </c>
      <c r="L121" s="24">
        <v>43651560</v>
      </c>
      <c r="M121" s="24">
        <v>39591606</v>
      </c>
      <c r="N121" s="24">
        <v>114458711</v>
      </c>
      <c r="O121" s="24">
        <v>1199215</v>
      </c>
      <c r="P121" s="24">
        <v>28200392</v>
      </c>
      <c r="Q121" s="24">
        <v>-3773335</v>
      </c>
      <c r="R121" s="24">
        <v>-45797142</v>
      </c>
      <c r="S121" s="24">
        <v>-52236098</v>
      </c>
      <c r="T121" s="24">
        <v>-7577323</v>
      </c>
      <c r="U121" s="24">
        <v>-27494509</v>
      </c>
      <c r="V121" s="24">
        <v>30211243</v>
      </c>
      <c r="W121" s="24">
        <v>18618334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</row>
    <row r="122" spans="1:44" x14ac:dyDescent="0.2">
      <c r="A122" s="35" t="s">
        <v>94</v>
      </c>
      <c r="B122" s="24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4">
        <v>0</v>
      </c>
      <c r="X122" s="24">
        <v>-20100273</v>
      </c>
      <c r="Y122" s="24">
        <v>-8767632</v>
      </c>
      <c r="Z122" s="24">
        <v>-2837461</v>
      </c>
      <c r="AA122" s="24">
        <v>-2228014</v>
      </c>
      <c r="AB122" s="24">
        <v>-1566906</v>
      </c>
      <c r="AC122" s="24">
        <v>-878156</v>
      </c>
      <c r="AD122" s="24">
        <v>-953332</v>
      </c>
      <c r="AE122" s="24">
        <v>-44128</v>
      </c>
      <c r="AF122" s="24">
        <v>0</v>
      </c>
      <c r="AG122" s="24">
        <v>0</v>
      </c>
      <c r="AH122" s="24">
        <v>0</v>
      </c>
      <c r="AI122" s="24">
        <v>0</v>
      </c>
      <c r="AJ122" s="24">
        <v>0</v>
      </c>
      <c r="AK122" s="24">
        <v>0</v>
      </c>
      <c r="AL122" s="24">
        <v>0</v>
      </c>
      <c r="AM122" s="24">
        <v>0</v>
      </c>
      <c r="AN122" s="24">
        <v>0</v>
      </c>
      <c r="AO122" s="24">
        <v>0</v>
      </c>
      <c r="AP122" s="24">
        <v>0</v>
      </c>
      <c r="AQ122" s="24">
        <v>0</v>
      </c>
      <c r="AR122" s="24">
        <v>0</v>
      </c>
    </row>
    <row r="123" spans="1:44" x14ac:dyDescent="0.2">
      <c r="A123" s="35" t="s">
        <v>53</v>
      </c>
      <c r="B123" s="24">
        <v>0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-17179186</v>
      </c>
      <c r="Y123" s="24">
        <v>-11828500</v>
      </c>
      <c r="Z123" s="24">
        <v>-5035155</v>
      </c>
      <c r="AA123" s="24">
        <v>-6181627</v>
      </c>
      <c r="AB123" s="24">
        <v>-3228106</v>
      </c>
      <c r="AC123" s="24">
        <v>-2808693</v>
      </c>
      <c r="AD123" s="24">
        <v>-2117595</v>
      </c>
      <c r="AE123" s="24">
        <v>-553133</v>
      </c>
      <c r="AF123" s="24">
        <v>-215127</v>
      </c>
      <c r="AG123" s="24">
        <v>141495242</v>
      </c>
      <c r="AH123" s="24">
        <v>3197250</v>
      </c>
      <c r="AI123" s="24">
        <v>54867564</v>
      </c>
      <c r="AJ123" s="24">
        <v>106824828</v>
      </c>
      <c r="AK123" s="24">
        <v>73498285</v>
      </c>
      <c r="AL123" s="24">
        <v>42759450</v>
      </c>
      <c r="AM123" s="24">
        <v>4538411</v>
      </c>
      <c r="AN123" s="24">
        <v>-13865887</v>
      </c>
      <c r="AO123" s="24">
        <v>-40900269</v>
      </c>
      <c r="AP123" s="24">
        <v>-42648062</v>
      </c>
      <c r="AQ123" s="24">
        <v>-51267250</v>
      </c>
      <c r="AR123" s="24">
        <v>-52446580</v>
      </c>
    </row>
    <row r="124" spans="1:44" x14ac:dyDescent="0.2">
      <c r="A124" s="35" t="s">
        <v>54</v>
      </c>
      <c r="B124" s="24">
        <v>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2745780</v>
      </c>
      <c r="Y124" s="24">
        <v>2534241</v>
      </c>
      <c r="Z124" s="24">
        <v>6249990</v>
      </c>
      <c r="AA124" s="24">
        <v>-1574755</v>
      </c>
      <c r="AB124" s="24">
        <v>-5255661</v>
      </c>
      <c r="AC124" s="24">
        <v>-5158002</v>
      </c>
      <c r="AD124" s="24">
        <v>3557684</v>
      </c>
      <c r="AE124" s="24">
        <v>5668608</v>
      </c>
      <c r="AF124" s="24">
        <v>-5129437</v>
      </c>
      <c r="AG124" s="24">
        <v>-8575163</v>
      </c>
      <c r="AH124" s="24">
        <v>-3809102</v>
      </c>
      <c r="AI124" s="24">
        <v>-1351782</v>
      </c>
      <c r="AJ124" s="24">
        <v>-894024</v>
      </c>
      <c r="AK124" s="24">
        <v>-308004</v>
      </c>
      <c r="AL124" s="24">
        <v>-48000</v>
      </c>
      <c r="AM124" s="24">
        <v>-32000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</row>
    <row r="125" spans="1:44" x14ac:dyDescent="0.2">
      <c r="A125" s="35" t="s">
        <v>55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226982</v>
      </c>
      <c r="Y125" s="24">
        <v>124903</v>
      </c>
      <c r="Z125" s="24">
        <v>4962868</v>
      </c>
      <c r="AA125" s="24">
        <v>-1380319</v>
      </c>
      <c r="AB125" s="24">
        <v>-1470093</v>
      </c>
      <c r="AC125" s="24">
        <v>1321819</v>
      </c>
      <c r="AD125" s="24">
        <v>2634571</v>
      </c>
      <c r="AE125" s="24">
        <v>-819285</v>
      </c>
      <c r="AF125" s="24">
        <v>-2693230</v>
      </c>
      <c r="AG125" s="24">
        <v>-2567332</v>
      </c>
      <c r="AH125" s="24">
        <v>-1013173</v>
      </c>
      <c r="AI125" s="24">
        <v>-353001</v>
      </c>
      <c r="AJ125" s="24">
        <v>0</v>
      </c>
      <c r="AK125" s="24">
        <v>0</v>
      </c>
      <c r="AL125" s="24">
        <v>0</v>
      </c>
      <c r="AM125" s="24">
        <v>0</v>
      </c>
      <c r="AN125" s="24">
        <v>0</v>
      </c>
      <c r="AO125" s="24">
        <v>0</v>
      </c>
      <c r="AP125" s="24">
        <v>0</v>
      </c>
      <c r="AQ125" s="24">
        <v>0</v>
      </c>
      <c r="AR125" s="24">
        <v>0</v>
      </c>
    </row>
    <row r="126" spans="1:44" x14ac:dyDescent="0.2">
      <c r="A126" s="35" t="s">
        <v>56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13260527</v>
      </c>
      <c r="Y126" s="24">
        <v>14233796</v>
      </c>
      <c r="Z126" s="24">
        <v>17718038</v>
      </c>
      <c r="AA126" s="24">
        <v>16131840</v>
      </c>
      <c r="AB126" s="24">
        <v>24453493</v>
      </c>
      <c r="AC126" s="24">
        <v>20995295</v>
      </c>
      <c r="AD126" s="24">
        <v>4688468</v>
      </c>
      <c r="AE126" s="24">
        <v>22535870</v>
      </c>
      <c r="AF126" s="24">
        <v>19892722</v>
      </c>
      <c r="AG126" s="24">
        <v>-60999135</v>
      </c>
      <c r="AH126" s="24">
        <v>-41125983</v>
      </c>
      <c r="AI126" s="24">
        <v>-31439426</v>
      </c>
      <c r="AJ126" s="24">
        <v>-18902601</v>
      </c>
      <c r="AK126" s="24">
        <v>-7811727</v>
      </c>
      <c r="AL126" s="24">
        <v>-6091211</v>
      </c>
      <c r="AM126" s="24">
        <v>-2722081</v>
      </c>
      <c r="AN126" s="24">
        <v>-1752416</v>
      </c>
      <c r="AO126" s="24">
        <v>-1420117</v>
      </c>
      <c r="AP126" s="24">
        <v>-1544360</v>
      </c>
      <c r="AQ126" s="24">
        <v>-611466</v>
      </c>
      <c r="AR126" s="24">
        <v>-494133</v>
      </c>
    </row>
    <row r="127" spans="1:44" x14ac:dyDescent="0.2">
      <c r="A127" s="35" t="s">
        <v>57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17741826</v>
      </c>
      <c r="Y127" s="24">
        <v>16588760</v>
      </c>
      <c r="Z127" s="24">
        <v>10107316</v>
      </c>
      <c r="AA127" s="24">
        <v>-22259160</v>
      </c>
      <c r="AB127" s="24">
        <v>-14987756</v>
      </c>
      <c r="AC127" s="24">
        <v>-13147095</v>
      </c>
      <c r="AD127" s="24">
        <v>-6860855</v>
      </c>
      <c r="AE127" s="24">
        <v>5112822</v>
      </c>
      <c r="AF127" s="24">
        <v>-7102616</v>
      </c>
      <c r="AG127" s="24">
        <v>-22108439</v>
      </c>
      <c r="AH127" s="24">
        <v>-13496531</v>
      </c>
      <c r="AI127" s="24">
        <v>-6427104</v>
      </c>
      <c r="AJ127" s="24">
        <v>-4861059</v>
      </c>
      <c r="AK127" s="24">
        <v>-2616748</v>
      </c>
      <c r="AL127" s="24">
        <v>-1203020</v>
      </c>
      <c r="AM127" s="24">
        <v>-1865830</v>
      </c>
      <c r="AN127" s="24">
        <v>-500514</v>
      </c>
      <c r="AO127" s="24">
        <v>-327025</v>
      </c>
      <c r="AP127" s="24">
        <v>0</v>
      </c>
      <c r="AQ127" s="24">
        <v>0</v>
      </c>
      <c r="AR127" s="24">
        <v>0</v>
      </c>
    </row>
    <row r="128" spans="1:44" x14ac:dyDescent="0.2">
      <c r="A128" s="35" t="s">
        <v>69</v>
      </c>
      <c r="B128" s="24">
        <v>204000</v>
      </c>
      <c r="C128" s="24">
        <v>17000000</v>
      </c>
      <c r="D128" s="24">
        <v>18069910</v>
      </c>
      <c r="E128" s="24">
        <v>23605235</v>
      </c>
      <c r="F128" s="24">
        <v>54791000</v>
      </c>
      <c r="G128" s="24">
        <v>-14362744</v>
      </c>
      <c r="H128" s="24">
        <v>-4126661</v>
      </c>
      <c r="I128" s="24">
        <v>-6849801</v>
      </c>
      <c r="J128" s="24">
        <v>-10441207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</row>
    <row r="129" spans="1:44" s="26" customFormat="1" x14ac:dyDescent="0.2">
      <c r="A129" s="36" t="s">
        <v>73</v>
      </c>
      <c r="B129" s="25">
        <v>204000</v>
      </c>
      <c r="C129" s="25">
        <v>17000000</v>
      </c>
      <c r="D129" s="25">
        <v>18069910</v>
      </c>
      <c r="E129" s="25">
        <v>23605235</v>
      </c>
      <c r="F129" s="25">
        <v>65892000</v>
      </c>
      <c r="G129" s="25">
        <v>-13905540</v>
      </c>
      <c r="H129" s="25">
        <v>-2507764</v>
      </c>
      <c r="I129" s="25">
        <v>-7092081</v>
      </c>
      <c r="J129" s="25">
        <v>-7892365</v>
      </c>
      <c r="K129" s="25">
        <v>19104000</v>
      </c>
      <c r="L129" s="25">
        <v>43651560</v>
      </c>
      <c r="M129" s="25">
        <v>39591606</v>
      </c>
      <c r="N129" s="25">
        <v>114458711</v>
      </c>
      <c r="O129" s="25">
        <v>1199215</v>
      </c>
      <c r="P129" s="25">
        <v>28200392</v>
      </c>
      <c r="Q129" s="25">
        <v>-3773335</v>
      </c>
      <c r="R129" s="25">
        <v>-45797142</v>
      </c>
      <c r="S129" s="25">
        <v>-52236098</v>
      </c>
      <c r="T129" s="25">
        <v>-7577323</v>
      </c>
      <c r="U129" s="25">
        <v>-27494509</v>
      </c>
      <c r="V129" s="25">
        <v>30211243</v>
      </c>
      <c r="W129" s="25">
        <v>18618334</v>
      </c>
      <c r="X129" s="25">
        <v>-3304344</v>
      </c>
      <c r="Y129" s="25">
        <v>12885568</v>
      </c>
      <c r="Z129" s="25">
        <v>31165596</v>
      </c>
      <c r="AA129" s="25">
        <v>-17492035</v>
      </c>
      <c r="AB129" s="25">
        <v>-2055029</v>
      </c>
      <c r="AC129" s="25">
        <v>325168</v>
      </c>
      <c r="AD129" s="25">
        <v>948941</v>
      </c>
      <c r="AE129" s="25">
        <v>31900754</v>
      </c>
      <c r="AF129" s="25">
        <v>4752312</v>
      </c>
      <c r="AG129" s="25">
        <v>47245173</v>
      </c>
      <c r="AH129" s="25">
        <v>-56247539</v>
      </c>
      <c r="AI129" s="25">
        <v>15296251</v>
      </c>
      <c r="AJ129" s="25">
        <v>82167144</v>
      </c>
      <c r="AK129" s="25">
        <v>62761806</v>
      </c>
      <c r="AL129" s="25">
        <v>35417219</v>
      </c>
      <c r="AM129" s="25">
        <v>-81500</v>
      </c>
      <c r="AN129" s="25">
        <v>-16118817</v>
      </c>
      <c r="AO129" s="25">
        <v>-42647411</v>
      </c>
      <c r="AP129" s="25">
        <v>-44192422</v>
      </c>
      <c r="AQ129" s="25">
        <v>-51878716</v>
      </c>
      <c r="AR129" s="25">
        <v>-52940713</v>
      </c>
    </row>
    <row r="130" spans="1:44" x14ac:dyDescent="0.2">
      <c r="A130" s="35" t="s">
        <v>58</v>
      </c>
      <c r="B130" s="24">
        <v>0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303557352</v>
      </c>
      <c r="N130" s="24">
        <v>-1498708</v>
      </c>
      <c r="O130" s="24">
        <v>12236116</v>
      </c>
      <c r="P130" s="24">
        <v>-5415426</v>
      </c>
      <c r="Q130" s="24">
        <v>11510311</v>
      </c>
      <c r="R130" s="24">
        <v>-34206942</v>
      </c>
      <c r="S130" s="24">
        <v>-8682229</v>
      </c>
      <c r="T130" s="24">
        <v>-36303486</v>
      </c>
      <c r="U130" s="24">
        <v>-35194489</v>
      </c>
      <c r="V130" s="24">
        <v>-2255181</v>
      </c>
      <c r="W130" s="24">
        <v>-34259472</v>
      </c>
      <c r="X130" s="24">
        <v>-25691053</v>
      </c>
      <c r="Y130" s="24">
        <v>-32181339</v>
      </c>
      <c r="Z130" s="24">
        <v>-5561382</v>
      </c>
      <c r="AA130" s="24">
        <v>-12545779</v>
      </c>
      <c r="AB130" s="24">
        <v>-14099273</v>
      </c>
      <c r="AC130" s="24">
        <v>-10715502</v>
      </c>
      <c r="AD130" s="24">
        <v>-9601974</v>
      </c>
      <c r="AE130" s="24">
        <v>633919</v>
      </c>
      <c r="AF130" s="24">
        <v>471375</v>
      </c>
      <c r="AG130" s="24">
        <v>-767523</v>
      </c>
      <c r="AH130" s="24">
        <v>-8747373</v>
      </c>
      <c r="AI130" s="24">
        <v>-6593396</v>
      </c>
      <c r="AJ130" s="24">
        <v>-888581</v>
      </c>
      <c r="AK130" s="24">
        <v>-5147225</v>
      </c>
      <c r="AL130" s="24">
        <v>-4261478</v>
      </c>
      <c r="AM130" s="24">
        <v>-2970809</v>
      </c>
      <c r="AN130" s="24">
        <v>-2712804</v>
      </c>
      <c r="AO130" s="24">
        <v>-2847128</v>
      </c>
      <c r="AP130" s="24">
        <v>-885937</v>
      </c>
      <c r="AQ130" s="24">
        <v>-641397</v>
      </c>
      <c r="AR130" s="24">
        <v>-2397680</v>
      </c>
    </row>
    <row r="131" spans="1:44" ht="24" x14ac:dyDescent="0.2">
      <c r="A131" s="35" t="s">
        <v>59</v>
      </c>
      <c r="B131" s="24">
        <v>0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  <c r="V131" s="24">
        <v>0</v>
      </c>
      <c r="W131" s="24">
        <v>0</v>
      </c>
      <c r="X131" s="24">
        <v>-5649301</v>
      </c>
      <c r="Y131" s="24">
        <v>-6430037</v>
      </c>
      <c r="Z131" s="24">
        <v>-2490905</v>
      </c>
      <c r="AA131" s="24">
        <v>-800859</v>
      </c>
      <c r="AB131" s="24">
        <v>1105661</v>
      </c>
      <c r="AC131" s="24">
        <v>273856</v>
      </c>
      <c r="AD131" s="24">
        <v>-1565048</v>
      </c>
      <c r="AE131" s="24">
        <v>-591175</v>
      </c>
      <c r="AF131" s="24">
        <v>-295667</v>
      </c>
      <c r="AG131" s="24">
        <v>-1881105</v>
      </c>
      <c r="AH131" s="24">
        <v>-1046615</v>
      </c>
      <c r="AI131" s="24">
        <v>-526910</v>
      </c>
      <c r="AJ131" s="24">
        <v>-213067</v>
      </c>
      <c r="AK131" s="24">
        <v>0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0</v>
      </c>
      <c r="AR131" s="24">
        <v>0</v>
      </c>
    </row>
    <row r="132" spans="1:44" ht="24" x14ac:dyDescent="0.2">
      <c r="A132" s="35" t="s">
        <v>88</v>
      </c>
      <c r="B132" s="24">
        <v>0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-548000</v>
      </c>
      <c r="L132" s="24">
        <v>-4021410</v>
      </c>
      <c r="M132" s="24">
        <v>6925480</v>
      </c>
      <c r="N132" s="24">
        <v>-4797880</v>
      </c>
      <c r="O132" s="24">
        <v>-1268210</v>
      </c>
      <c r="P132" s="24">
        <v>-1580220</v>
      </c>
      <c r="Q132" s="24">
        <v>2941460</v>
      </c>
      <c r="R132" s="24">
        <v>-721530</v>
      </c>
      <c r="S132" s="24">
        <v>5496930</v>
      </c>
      <c r="T132" s="24">
        <v>-11570</v>
      </c>
      <c r="U132" s="24">
        <v>-16017430</v>
      </c>
      <c r="V132" s="24">
        <v>-23165990</v>
      </c>
      <c r="W132" s="24">
        <v>4720</v>
      </c>
      <c r="X132" s="24">
        <v>-161040</v>
      </c>
      <c r="Y132" s="24">
        <v>-4680</v>
      </c>
      <c r="Z132" s="24">
        <v>-28520</v>
      </c>
      <c r="AA132" s="24">
        <v>0</v>
      </c>
      <c r="AB132" s="24">
        <v>0</v>
      </c>
      <c r="AC132" s="24">
        <v>0</v>
      </c>
      <c r="AD132" s="24">
        <v>0</v>
      </c>
      <c r="AE132" s="24">
        <v>0</v>
      </c>
      <c r="AF132" s="24">
        <v>0</v>
      </c>
      <c r="AG132" s="24">
        <v>0</v>
      </c>
      <c r="AH132" s="24">
        <v>0</v>
      </c>
      <c r="AI132" s="24">
        <v>0</v>
      </c>
      <c r="AJ132" s="24">
        <v>0</v>
      </c>
      <c r="AK132" s="24">
        <v>0</v>
      </c>
      <c r="AL132" s="24">
        <v>0</v>
      </c>
      <c r="AM132" s="24">
        <v>0</v>
      </c>
      <c r="AN132" s="24">
        <v>0</v>
      </c>
      <c r="AO132" s="24">
        <v>0</v>
      </c>
      <c r="AP132" s="24">
        <v>0</v>
      </c>
      <c r="AQ132" s="24">
        <v>0</v>
      </c>
      <c r="AR132" s="24">
        <v>0</v>
      </c>
    </row>
    <row r="133" spans="1:44" x14ac:dyDescent="0.2">
      <c r="A133" s="35" t="s">
        <v>79</v>
      </c>
      <c r="B133" s="24">
        <v>0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13430499</v>
      </c>
      <c r="N133" s="24">
        <v>-2033423</v>
      </c>
      <c r="O133" s="24">
        <v>-2646230</v>
      </c>
      <c r="P133" s="24">
        <v>-2674533</v>
      </c>
      <c r="Q133" s="24">
        <v>-2096142</v>
      </c>
      <c r="R133" s="24">
        <v>-1887942</v>
      </c>
      <c r="S133" s="24">
        <v>-1063813</v>
      </c>
      <c r="T133" s="24">
        <v>1670942</v>
      </c>
      <c r="U133" s="24">
        <v>-1890786</v>
      </c>
      <c r="V133" s="24">
        <v>-190374</v>
      </c>
      <c r="W133" s="24">
        <v>-200083</v>
      </c>
      <c r="X133" s="24">
        <v>-210287</v>
      </c>
      <c r="Y133" s="24">
        <v>-207828</v>
      </c>
      <c r="Z133" s="24">
        <v>0</v>
      </c>
      <c r="AA133" s="24">
        <v>0</v>
      </c>
      <c r="AB133" s="24">
        <v>0</v>
      </c>
      <c r="AC133" s="24">
        <v>0</v>
      </c>
      <c r="AD133" s="24">
        <v>0</v>
      </c>
      <c r="AE133" s="24">
        <v>0</v>
      </c>
      <c r="AF133" s="24">
        <v>0</v>
      </c>
      <c r="AG133" s="24">
        <v>0</v>
      </c>
      <c r="AH133" s="24">
        <v>0</v>
      </c>
      <c r="AI133" s="24">
        <v>0</v>
      </c>
      <c r="AJ133" s="24">
        <v>0</v>
      </c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</row>
    <row r="134" spans="1:44" s="26" customFormat="1" x14ac:dyDescent="0.2">
      <c r="A134" s="36" t="s">
        <v>73</v>
      </c>
      <c r="B134" s="25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-548000</v>
      </c>
      <c r="L134" s="25">
        <v>-4021410</v>
      </c>
      <c r="M134" s="25">
        <v>323913331</v>
      </c>
      <c r="N134" s="25">
        <v>-8330011</v>
      </c>
      <c r="O134" s="25">
        <v>8321676</v>
      </c>
      <c r="P134" s="25">
        <v>-9670179</v>
      </c>
      <c r="Q134" s="25">
        <v>12355629</v>
      </c>
      <c r="R134" s="25">
        <v>-36816414</v>
      </c>
      <c r="S134" s="25">
        <v>-4249112</v>
      </c>
      <c r="T134" s="25">
        <v>-34644114</v>
      </c>
      <c r="U134" s="25">
        <v>-53102705</v>
      </c>
      <c r="V134" s="25">
        <v>-25611545</v>
      </c>
      <c r="W134" s="25">
        <v>-34454835</v>
      </c>
      <c r="X134" s="25">
        <v>-31711681</v>
      </c>
      <c r="Y134" s="25">
        <v>-38823884</v>
      </c>
      <c r="Z134" s="25">
        <v>-8080807</v>
      </c>
      <c r="AA134" s="25">
        <v>-13346638</v>
      </c>
      <c r="AB134" s="25">
        <v>-12993612</v>
      </c>
      <c r="AC134" s="25">
        <v>-10441646</v>
      </c>
      <c r="AD134" s="25">
        <v>-11167022</v>
      </c>
      <c r="AE134" s="25">
        <v>42744</v>
      </c>
      <c r="AF134" s="25">
        <v>175708</v>
      </c>
      <c r="AG134" s="25">
        <v>-2648628</v>
      </c>
      <c r="AH134" s="25">
        <v>-9793988</v>
      </c>
      <c r="AI134" s="25">
        <v>-7120306</v>
      </c>
      <c r="AJ134" s="25">
        <v>-1101648</v>
      </c>
      <c r="AK134" s="25">
        <v>-5147225</v>
      </c>
      <c r="AL134" s="25">
        <v>-4261478</v>
      </c>
      <c r="AM134" s="25">
        <v>-2970809</v>
      </c>
      <c r="AN134" s="25">
        <v>-2712804</v>
      </c>
      <c r="AO134" s="25">
        <v>-2847128</v>
      </c>
      <c r="AP134" s="25">
        <v>-885937</v>
      </c>
      <c r="AQ134" s="25">
        <v>-641397</v>
      </c>
      <c r="AR134" s="25">
        <v>-2397680</v>
      </c>
    </row>
    <row r="135" spans="1:44" x14ac:dyDescent="0.2">
      <c r="A135" s="35" t="s">
        <v>60</v>
      </c>
      <c r="B135" s="24">
        <v>0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10301102</v>
      </c>
      <c r="AI135" s="24">
        <v>9119583</v>
      </c>
      <c r="AJ135" s="24">
        <v>10012186</v>
      </c>
      <c r="AK135" s="24">
        <v>-4136819</v>
      </c>
      <c r="AL135" s="24">
        <v>1910989</v>
      </c>
      <c r="AM135" s="24">
        <v>-2589213</v>
      </c>
      <c r="AN135" s="24">
        <v>-176387</v>
      </c>
      <c r="AO135" s="24">
        <v>-2840903</v>
      </c>
      <c r="AP135" s="24">
        <v>-5438412</v>
      </c>
      <c r="AQ135" s="24">
        <v>-3542227</v>
      </c>
      <c r="AR135" s="24">
        <v>1958631</v>
      </c>
    </row>
    <row r="136" spans="1:44" s="26" customFormat="1" x14ac:dyDescent="0.2">
      <c r="A136" s="36" t="s">
        <v>73</v>
      </c>
      <c r="B136" s="25">
        <v>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D136" s="25">
        <v>0</v>
      </c>
      <c r="AE136" s="25">
        <v>0</v>
      </c>
      <c r="AF136" s="25">
        <v>0</v>
      </c>
      <c r="AG136" s="25">
        <v>0</v>
      </c>
      <c r="AH136" s="25">
        <v>10301102</v>
      </c>
      <c r="AI136" s="25">
        <v>9119583</v>
      </c>
      <c r="AJ136" s="25">
        <v>10012186</v>
      </c>
      <c r="AK136" s="25">
        <v>-4136819</v>
      </c>
      <c r="AL136" s="25">
        <v>1910989</v>
      </c>
      <c r="AM136" s="25">
        <v>-2589213</v>
      </c>
      <c r="AN136" s="25">
        <v>-176387</v>
      </c>
      <c r="AO136" s="25">
        <v>-2840903</v>
      </c>
      <c r="AP136" s="25">
        <v>-5438412</v>
      </c>
      <c r="AQ136" s="25">
        <v>-3542227</v>
      </c>
      <c r="AR136" s="25">
        <v>1958631</v>
      </c>
    </row>
    <row r="137" spans="1:44" x14ac:dyDescent="0.2">
      <c r="A137" s="35" t="s">
        <v>70</v>
      </c>
      <c r="B137" s="24">
        <v>-1475167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1261066</v>
      </c>
      <c r="I137" s="24">
        <v>1454313</v>
      </c>
      <c r="J137" s="24">
        <v>1000000</v>
      </c>
      <c r="K137" s="24">
        <v>-456000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</row>
    <row r="138" spans="1:44" s="26" customFormat="1" x14ac:dyDescent="0.2">
      <c r="A138" s="36" t="s">
        <v>73</v>
      </c>
      <c r="B138" s="25">
        <v>-1475167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1261066</v>
      </c>
      <c r="I138" s="25">
        <v>1454313</v>
      </c>
      <c r="J138" s="25">
        <v>1000000</v>
      </c>
      <c r="K138" s="25">
        <v>-456000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5">
        <v>0</v>
      </c>
      <c r="AE138" s="25">
        <v>0</v>
      </c>
      <c r="AF138" s="25">
        <v>0</v>
      </c>
      <c r="AG138" s="25">
        <v>0</v>
      </c>
      <c r="AH138" s="25">
        <v>0</v>
      </c>
      <c r="AI138" s="25">
        <v>0</v>
      </c>
      <c r="AJ138" s="25">
        <v>0</v>
      </c>
      <c r="AK138" s="25">
        <v>0</v>
      </c>
      <c r="AL138" s="25">
        <v>0</v>
      </c>
      <c r="AM138" s="25">
        <v>0</v>
      </c>
      <c r="AN138" s="25">
        <v>0</v>
      </c>
      <c r="AO138" s="25">
        <v>0</v>
      </c>
      <c r="AP138" s="25">
        <v>0</v>
      </c>
      <c r="AQ138" s="25">
        <v>0</v>
      </c>
      <c r="AR138" s="25">
        <v>0</v>
      </c>
    </row>
    <row r="139" spans="1:44" x14ac:dyDescent="0.2">
      <c r="A139" s="35" t="s">
        <v>75</v>
      </c>
      <c r="B139" s="24">
        <v>0</v>
      </c>
      <c r="C139" s="24">
        <v>3231000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N139" s="24">
        <v>0</v>
      </c>
      <c r="AO139" s="24">
        <v>0</v>
      </c>
      <c r="AP139" s="24">
        <v>0</v>
      </c>
      <c r="AQ139" s="24">
        <v>0</v>
      </c>
      <c r="AR139" s="24">
        <v>0</v>
      </c>
    </row>
    <row r="140" spans="1:44" s="26" customFormat="1" x14ac:dyDescent="0.2">
      <c r="A140" s="36" t="s">
        <v>73</v>
      </c>
      <c r="B140" s="25">
        <v>0</v>
      </c>
      <c r="C140" s="25">
        <v>3231000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25">
        <v>0</v>
      </c>
      <c r="AE140" s="25">
        <v>0</v>
      </c>
      <c r="AF140" s="25">
        <v>0</v>
      </c>
      <c r="AG140" s="25">
        <v>0</v>
      </c>
      <c r="AH140" s="25">
        <v>0</v>
      </c>
      <c r="AI140" s="25">
        <v>0</v>
      </c>
      <c r="AJ140" s="25">
        <v>0</v>
      </c>
      <c r="AK140" s="25">
        <v>0</v>
      </c>
      <c r="AL140" s="25">
        <v>0</v>
      </c>
      <c r="AM140" s="25">
        <v>0</v>
      </c>
      <c r="AN140" s="25">
        <v>0</v>
      </c>
      <c r="AO140" s="25">
        <v>0</v>
      </c>
      <c r="AP140" s="25">
        <v>0</v>
      </c>
      <c r="AQ140" s="25">
        <v>0</v>
      </c>
      <c r="AR140" s="25">
        <v>0</v>
      </c>
    </row>
    <row r="141" spans="1:44" x14ac:dyDescent="0.2">
      <c r="A141" s="35" t="s">
        <v>85</v>
      </c>
      <c r="B141" s="24">
        <v>0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1772300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</row>
    <row r="142" spans="1:44" s="26" customFormat="1" x14ac:dyDescent="0.2">
      <c r="A142" s="36" t="s">
        <v>73</v>
      </c>
      <c r="B142" s="25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1772300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Q142" s="25">
        <v>0</v>
      </c>
      <c r="AR142" s="25">
        <v>0</v>
      </c>
    </row>
    <row r="143" spans="1:44" x14ac:dyDescent="0.2">
      <c r="A143" s="35" t="s">
        <v>89</v>
      </c>
      <c r="B143" s="24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7093000</v>
      </c>
      <c r="L143" s="24">
        <v>5011365</v>
      </c>
      <c r="M143" s="24">
        <v>13102971</v>
      </c>
      <c r="N143" s="24">
        <v>5783401</v>
      </c>
      <c r="O143" s="24">
        <v>1251186</v>
      </c>
      <c r="P143" s="24">
        <v>4479976</v>
      </c>
      <c r="Q143" s="24">
        <v>9612303</v>
      </c>
      <c r="R143" s="24">
        <v>-20108962</v>
      </c>
      <c r="S143" s="24">
        <v>3039399</v>
      </c>
      <c r="T143" s="24">
        <v>41537038</v>
      </c>
      <c r="U143" s="24">
        <v>-10978813</v>
      </c>
      <c r="V143" s="24">
        <v>-51186468</v>
      </c>
      <c r="W143" s="24">
        <v>-19051997</v>
      </c>
      <c r="X143" s="24">
        <v>-2622645</v>
      </c>
      <c r="Y143" s="24">
        <v>-1985973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</row>
    <row r="144" spans="1:44" s="26" customFormat="1" x14ac:dyDescent="0.2">
      <c r="A144" s="36" t="s">
        <v>73</v>
      </c>
      <c r="B144" s="25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7093000</v>
      </c>
      <c r="L144" s="25">
        <v>5011365</v>
      </c>
      <c r="M144" s="25">
        <v>13102971</v>
      </c>
      <c r="N144" s="25">
        <v>5783401</v>
      </c>
      <c r="O144" s="25">
        <v>1251186</v>
      </c>
      <c r="P144" s="25">
        <v>4479976</v>
      </c>
      <c r="Q144" s="25">
        <v>9612303</v>
      </c>
      <c r="R144" s="25">
        <v>-20108962</v>
      </c>
      <c r="S144" s="25">
        <v>3039399</v>
      </c>
      <c r="T144" s="25">
        <v>41537038</v>
      </c>
      <c r="U144" s="25">
        <v>-10978813</v>
      </c>
      <c r="V144" s="25">
        <v>-51186468</v>
      </c>
      <c r="W144" s="25">
        <v>-19051997</v>
      </c>
      <c r="X144" s="25">
        <v>-2622645</v>
      </c>
      <c r="Y144" s="25">
        <v>-1985973</v>
      </c>
      <c r="Z144" s="25">
        <v>0</v>
      </c>
      <c r="AA144" s="25">
        <v>0</v>
      </c>
      <c r="AB144" s="25">
        <v>0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0</v>
      </c>
      <c r="AO144" s="25">
        <v>0</v>
      </c>
      <c r="AP144" s="25">
        <v>0</v>
      </c>
      <c r="AQ144" s="25">
        <v>0</v>
      </c>
      <c r="AR144" s="25">
        <v>0</v>
      </c>
    </row>
    <row r="145" spans="1:44" s="29" customFormat="1" ht="12.5" thickBot="1" x14ac:dyDescent="0.25">
      <c r="A145" s="37" t="s">
        <v>61</v>
      </c>
      <c r="B145" s="40">
        <v>24331806</v>
      </c>
      <c r="C145" s="40">
        <v>41231000</v>
      </c>
      <c r="D145" s="40">
        <v>28349910</v>
      </c>
      <c r="E145" s="40">
        <v>56295235</v>
      </c>
      <c r="F145" s="40">
        <v>120712000</v>
      </c>
      <c r="G145" s="40">
        <v>-10434756</v>
      </c>
      <c r="H145" s="40">
        <v>4348659</v>
      </c>
      <c r="I145" s="40">
        <v>23507324</v>
      </c>
      <c r="J145" s="40">
        <v>72514394</v>
      </c>
      <c r="K145" s="40">
        <v>4493000</v>
      </c>
      <c r="L145" s="40">
        <v>-62243659</v>
      </c>
      <c r="M145" s="40">
        <v>429143957</v>
      </c>
      <c r="N145" s="40">
        <v>170813492</v>
      </c>
      <c r="O145" s="40">
        <v>188610772</v>
      </c>
      <c r="P145" s="40">
        <v>237943671</v>
      </c>
      <c r="Q145" s="40">
        <v>315654159</v>
      </c>
      <c r="R145" s="40">
        <v>324393212</v>
      </c>
      <c r="S145" s="40">
        <v>330767181</v>
      </c>
      <c r="T145" s="40">
        <v>368092694</v>
      </c>
      <c r="U145" s="40">
        <v>127610042</v>
      </c>
      <c r="V145" s="40">
        <v>521251392</v>
      </c>
      <c r="W145" s="40">
        <v>422340113</v>
      </c>
      <c r="X145" s="40">
        <v>98319809</v>
      </c>
      <c r="Y145" s="40">
        <v>483733192</v>
      </c>
      <c r="Z145" s="40">
        <v>832666296</v>
      </c>
      <c r="AA145" s="40">
        <v>643598897</v>
      </c>
      <c r="AB145" s="40">
        <v>866971978</v>
      </c>
      <c r="AC145" s="40">
        <v>640734231</v>
      </c>
      <c r="AD145" s="40">
        <v>404270532</v>
      </c>
      <c r="AE145" s="40">
        <v>-131235759</v>
      </c>
      <c r="AF145" s="40">
        <v>-373262437</v>
      </c>
      <c r="AG145" s="40">
        <v>-350466622</v>
      </c>
      <c r="AH145" s="40">
        <v>-947559623</v>
      </c>
      <c r="AI145" s="40">
        <v>-764440796</v>
      </c>
      <c r="AJ145" s="40">
        <v>-383481978</v>
      </c>
      <c r="AK145" s="40">
        <v>-381674801</v>
      </c>
      <c r="AL145" s="40">
        <v>-471569581</v>
      </c>
      <c r="AM145" s="40">
        <v>-565327411</v>
      </c>
      <c r="AN145" s="40">
        <v>-348907867</v>
      </c>
      <c r="AO145" s="40">
        <v>-334583264</v>
      </c>
      <c r="AP145" s="40">
        <v>-365702914</v>
      </c>
      <c r="AQ145" s="40">
        <v>-361692699</v>
      </c>
      <c r="AR145" s="40">
        <v>-204587749</v>
      </c>
    </row>
    <row r="146" spans="1:44" x14ac:dyDescent="0.2">
      <c r="AR146" s="5"/>
    </row>
    <row r="147" spans="1:44" x14ac:dyDescent="0.2">
      <c r="A147" s="12"/>
      <c r="B147" s="6" t="s">
        <v>138</v>
      </c>
      <c r="C147" s="6" t="s">
        <v>139</v>
      </c>
      <c r="D147" s="6" t="s">
        <v>140</v>
      </c>
      <c r="E147" s="6" t="s">
        <v>141</v>
      </c>
      <c r="F147" s="6" t="s">
        <v>142</v>
      </c>
      <c r="G147" s="6" t="s">
        <v>143</v>
      </c>
      <c r="H147" s="6" t="s">
        <v>144</v>
      </c>
      <c r="I147" s="6" t="s">
        <v>145</v>
      </c>
      <c r="J147" s="6" t="s">
        <v>146</v>
      </c>
      <c r="K147" s="6" t="s">
        <v>150</v>
      </c>
      <c r="L147" s="6" t="s">
        <v>151</v>
      </c>
      <c r="M147" s="6" t="s">
        <v>152</v>
      </c>
      <c r="N147" s="6" t="s">
        <v>153</v>
      </c>
      <c r="O147" s="6" t="s">
        <v>154</v>
      </c>
      <c r="P147" s="6" t="s">
        <v>155</v>
      </c>
      <c r="Q147" s="6" t="s">
        <v>156</v>
      </c>
      <c r="R147" s="6" t="s">
        <v>157</v>
      </c>
      <c r="S147" s="6" t="s">
        <v>158</v>
      </c>
      <c r="T147" s="6" t="s">
        <v>159</v>
      </c>
      <c r="U147" s="6" t="s">
        <v>160</v>
      </c>
      <c r="V147" s="6" t="s">
        <v>161</v>
      </c>
      <c r="W147" s="6" t="s">
        <v>162</v>
      </c>
      <c r="X147" s="6" t="s">
        <v>163</v>
      </c>
      <c r="Y147" s="6" t="s">
        <v>164</v>
      </c>
      <c r="Z147" s="6" t="s">
        <v>165</v>
      </c>
      <c r="AA147" s="6" t="s">
        <v>166</v>
      </c>
      <c r="AB147" s="6" t="s">
        <v>167</v>
      </c>
      <c r="AC147" s="6" t="s">
        <v>168</v>
      </c>
      <c r="AD147" s="6" t="s">
        <v>169</v>
      </c>
      <c r="AE147" s="6" t="s">
        <v>170</v>
      </c>
      <c r="AF147" s="6" t="s">
        <v>171</v>
      </c>
      <c r="AG147" s="6" t="s">
        <v>172</v>
      </c>
      <c r="AH147" s="6" t="s">
        <v>173</v>
      </c>
      <c r="AI147" s="6" t="s">
        <v>174</v>
      </c>
      <c r="AJ147" s="6" t="s">
        <v>175</v>
      </c>
      <c r="AK147" s="6" t="s">
        <v>176</v>
      </c>
      <c r="AL147" s="6" t="s">
        <v>177</v>
      </c>
      <c r="AM147" s="6" t="s">
        <v>178</v>
      </c>
      <c r="AN147" s="6" t="s">
        <v>179</v>
      </c>
      <c r="AO147" s="6" t="s">
        <v>180</v>
      </c>
      <c r="AP147" s="6" t="s">
        <v>181</v>
      </c>
      <c r="AQ147" s="6" t="s">
        <v>182</v>
      </c>
      <c r="AR147" s="6" t="s">
        <v>183</v>
      </c>
    </row>
    <row r="148" spans="1:44" s="26" customFormat="1" x14ac:dyDescent="0.2">
      <c r="A148" s="36" t="s">
        <v>235</v>
      </c>
      <c r="B148" s="25">
        <v>-1046800</v>
      </c>
      <c r="C148" s="25">
        <v>6000000</v>
      </c>
      <c r="D148" s="25">
        <v>3580000</v>
      </c>
      <c r="E148" s="25">
        <v>4700000</v>
      </c>
      <c r="F148" s="25">
        <v>997000</v>
      </c>
      <c r="G148" s="25">
        <v>-1326100</v>
      </c>
      <c r="H148" s="25">
        <v>-863000</v>
      </c>
      <c r="I148" s="25">
        <v>11977826</v>
      </c>
      <c r="J148" s="25">
        <v>10617638</v>
      </c>
      <c r="K148" s="25">
        <v>273000</v>
      </c>
      <c r="L148" s="25">
        <v>-6206299</v>
      </c>
      <c r="M148" s="25">
        <v>-7874625</v>
      </c>
      <c r="N148" s="25">
        <v>-9442043</v>
      </c>
      <c r="O148" s="25">
        <v>62033751</v>
      </c>
      <c r="P148" s="25">
        <v>149872717</v>
      </c>
      <c r="Q148" s="25">
        <v>271984285</v>
      </c>
      <c r="R148" s="25">
        <v>404879977</v>
      </c>
      <c r="S148" s="25">
        <v>318361461</v>
      </c>
      <c r="T148" s="25">
        <v>315688707</v>
      </c>
      <c r="U148" s="25">
        <v>238209320</v>
      </c>
      <c r="V148" s="25">
        <v>581292656</v>
      </c>
      <c r="W148" s="25">
        <v>423908901</v>
      </c>
      <c r="X148" s="25">
        <v>243519556</v>
      </c>
      <c r="Y148" s="25">
        <v>410521707</v>
      </c>
      <c r="Z148" s="25">
        <v>796441774</v>
      </c>
      <c r="AA148" s="25">
        <v>747646784</v>
      </c>
      <c r="AB148" s="25">
        <v>754235745</v>
      </c>
      <c r="AC148" s="25">
        <v>560742684</v>
      </c>
      <c r="AD148" s="25">
        <v>197795854</v>
      </c>
      <c r="AE148" s="25">
        <v>-213276811</v>
      </c>
      <c r="AF148" s="25">
        <v>-293105388</v>
      </c>
      <c r="AG148" s="25">
        <v>-387154506</v>
      </c>
      <c r="AH148" s="25">
        <v>-889199680</v>
      </c>
      <c r="AI148" s="25">
        <v>-689855526</v>
      </c>
      <c r="AJ148" s="25">
        <v>-345299388</v>
      </c>
      <c r="AK148" s="25">
        <v>-366826818</v>
      </c>
      <c r="AL148" s="25">
        <v>-438608091</v>
      </c>
      <c r="AM148" s="25">
        <v>-490220564</v>
      </c>
      <c r="AN148" s="25">
        <v>-296778735</v>
      </c>
      <c r="AO148" s="25">
        <v>-246282580</v>
      </c>
      <c r="AP148" s="25">
        <v>-252984348</v>
      </c>
      <c r="AQ148" s="25">
        <v>-239581418</v>
      </c>
      <c r="AR148" s="25">
        <v>-102166340</v>
      </c>
    </row>
    <row r="149" spans="1:44" s="26" customFormat="1" x14ac:dyDescent="0.2">
      <c r="A149" s="36" t="s">
        <v>237</v>
      </c>
      <c r="B149" s="25">
        <v>0</v>
      </c>
      <c r="C149" s="25">
        <v>0</v>
      </c>
      <c r="D149" s="25">
        <v>0</v>
      </c>
      <c r="E149" s="25">
        <v>0</v>
      </c>
      <c r="F149" s="25">
        <v>43798000</v>
      </c>
      <c r="G149" s="25">
        <v>2185327</v>
      </c>
      <c r="H149" s="25">
        <v>2147379</v>
      </c>
      <c r="I149" s="25">
        <v>-952503</v>
      </c>
      <c r="J149" s="25">
        <v>7789095</v>
      </c>
      <c r="K149" s="25">
        <v>-17674000</v>
      </c>
      <c r="L149" s="25">
        <v>-391456</v>
      </c>
      <c r="M149" s="25">
        <v>46261219</v>
      </c>
      <c r="N149" s="25">
        <v>86940217</v>
      </c>
      <c r="O149" s="25">
        <v>75639972</v>
      </c>
      <c r="P149" s="25">
        <v>72486058</v>
      </c>
      <c r="Q149" s="25">
        <v>-23378346</v>
      </c>
      <c r="R149" s="25">
        <v>-84081832</v>
      </c>
      <c r="S149" s="25">
        <v>-112809127</v>
      </c>
      <c r="T149" s="25">
        <v>-63724357</v>
      </c>
      <c r="U149" s="25">
        <v>-35253914</v>
      </c>
      <c r="V149" s="25">
        <v>-26421017</v>
      </c>
      <c r="W149" s="25">
        <v>-31311274</v>
      </c>
      <c r="X149" s="25">
        <v>-12311020</v>
      </c>
      <c r="Y149" s="25">
        <v>-14031474</v>
      </c>
      <c r="Z149" s="25">
        <v>-4049561</v>
      </c>
      <c r="AA149" s="25">
        <v>-2871212</v>
      </c>
      <c r="AB149" s="25">
        <v>-5738155</v>
      </c>
      <c r="AC149" s="25">
        <v>-12125201</v>
      </c>
      <c r="AD149" s="25">
        <v>8360666</v>
      </c>
      <c r="AE149" s="25">
        <v>8652961</v>
      </c>
      <c r="AF149" s="25">
        <v>11894597</v>
      </c>
      <c r="AG149" s="25">
        <v>90291668</v>
      </c>
      <c r="AH149" s="25">
        <v>83345572</v>
      </c>
      <c r="AI149" s="25">
        <v>21980177</v>
      </c>
      <c r="AJ149" s="25">
        <v>-12085776</v>
      </c>
      <c r="AK149" s="25">
        <v>18129158</v>
      </c>
      <c r="AL149" s="25">
        <v>5815858</v>
      </c>
      <c r="AM149" s="25">
        <v>-25161167</v>
      </c>
      <c r="AN149" s="25">
        <v>-1678184</v>
      </c>
      <c r="AO149" s="25">
        <v>-1873901</v>
      </c>
      <c r="AP149" s="25">
        <v>-42165907</v>
      </c>
      <c r="AQ149" s="25">
        <v>-21532808</v>
      </c>
      <c r="AR149" s="25">
        <v>-23385146</v>
      </c>
    </row>
    <row r="150" spans="1:44" s="26" customFormat="1" x14ac:dyDescent="0.2">
      <c r="A150" s="36" t="s">
        <v>236</v>
      </c>
      <c r="B150" s="25">
        <v>26649773</v>
      </c>
      <c r="C150" s="25">
        <v>15000000</v>
      </c>
      <c r="D150" s="25">
        <v>6700000</v>
      </c>
      <c r="E150" s="25">
        <v>27990000</v>
      </c>
      <c r="F150" s="25">
        <v>10025000</v>
      </c>
      <c r="G150" s="25">
        <v>2611557</v>
      </c>
      <c r="H150" s="25">
        <v>4310978</v>
      </c>
      <c r="I150" s="25">
        <v>18119769</v>
      </c>
      <c r="J150" s="25">
        <v>59227726</v>
      </c>
      <c r="K150" s="25">
        <v>-3299000</v>
      </c>
      <c r="L150" s="25">
        <v>-100287419</v>
      </c>
      <c r="M150" s="25">
        <v>14149455</v>
      </c>
      <c r="N150" s="25">
        <v>-18596783</v>
      </c>
      <c r="O150" s="25">
        <v>40164972</v>
      </c>
      <c r="P150" s="25">
        <v>-7425293</v>
      </c>
      <c r="Q150" s="25">
        <v>48853623</v>
      </c>
      <c r="R150" s="25">
        <v>106317585</v>
      </c>
      <c r="S150" s="25">
        <v>178660658</v>
      </c>
      <c r="T150" s="25">
        <v>116812743</v>
      </c>
      <c r="U150" s="25">
        <v>16230663</v>
      </c>
      <c r="V150" s="25">
        <v>12966523</v>
      </c>
      <c r="W150" s="25">
        <v>64630984</v>
      </c>
      <c r="X150" s="25">
        <v>-95250057</v>
      </c>
      <c r="Y150" s="25">
        <v>115167248</v>
      </c>
      <c r="Z150" s="25">
        <v>17189294</v>
      </c>
      <c r="AA150" s="25">
        <v>-70338002</v>
      </c>
      <c r="AB150" s="25">
        <v>133523029</v>
      </c>
      <c r="AC150" s="25">
        <v>102233226</v>
      </c>
      <c r="AD150" s="25">
        <v>208332093</v>
      </c>
      <c r="AE150" s="25">
        <v>41444593</v>
      </c>
      <c r="AF150" s="25">
        <v>-96979666</v>
      </c>
      <c r="AG150" s="25">
        <v>-98200329</v>
      </c>
      <c r="AH150" s="25">
        <v>-85965090</v>
      </c>
      <c r="AI150" s="25">
        <v>-113860975</v>
      </c>
      <c r="AJ150" s="25">
        <v>-117174496</v>
      </c>
      <c r="AK150" s="25">
        <v>-86454903</v>
      </c>
      <c r="AL150" s="25">
        <v>-71844078</v>
      </c>
      <c r="AM150" s="25">
        <v>-44304158</v>
      </c>
      <c r="AN150" s="25">
        <v>-31442940</v>
      </c>
      <c r="AO150" s="25">
        <v>-38091341</v>
      </c>
      <c r="AP150" s="25">
        <v>-20035888</v>
      </c>
      <c r="AQ150" s="25">
        <v>-44516133</v>
      </c>
      <c r="AR150" s="25">
        <v>-25656501</v>
      </c>
    </row>
    <row r="151" spans="1:44" s="26" customFormat="1" x14ac:dyDescent="0.2">
      <c r="A151" s="36" t="s">
        <v>238</v>
      </c>
      <c r="B151" s="25">
        <v>204000</v>
      </c>
      <c r="C151" s="25">
        <v>17000000</v>
      </c>
      <c r="D151" s="25">
        <v>18069910</v>
      </c>
      <c r="E151" s="25">
        <v>23605235</v>
      </c>
      <c r="F151" s="25">
        <v>65892000</v>
      </c>
      <c r="G151" s="25">
        <v>-13905540</v>
      </c>
      <c r="H151" s="25">
        <v>-2507764</v>
      </c>
      <c r="I151" s="25">
        <v>-7092081</v>
      </c>
      <c r="J151" s="25">
        <v>-7892365</v>
      </c>
      <c r="K151" s="25">
        <v>19104000</v>
      </c>
      <c r="L151" s="25">
        <v>43651560</v>
      </c>
      <c r="M151" s="25">
        <v>39591606</v>
      </c>
      <c r="N151" s="25">
        <v>114458711</v>
      </c>
      <c r="O151" s="25">
        <v>1199215</v>
      </c>
      <c r="P151" s="25">
        <v>28200392</v>
      </c>
      <c r="Q151" s="25">
        <v>-3773335</v>
      </c>
      <c r="R151" s="25">
        <v>-45797142</v>
      </c>
      <c r="S151" s="25">
        <v>-52236098</v>
      </c>
      <c r="T151" s="25">
        <v>-7577323</v>
      </c>
      <c r="U151" s="25">
        <v>-27494509</v>
      </c>
      <c r="V151" s="25">
        <v>30211243</v>
      </c>
      <c r="W151" s="25">
        <v>18618334</v>
      </c>
      <c r="X151" s="25">
        <v>-3304344</v>
      </c>
      <c r="Y151" s="25">
        <v>12885568</v>
      </c>
      <c r="Z151" s="25">
        <v>31165596</v>
      </c>
      <c r="AA151" s="25">
        <v>-17492035</v>
      </c>
      <c r="AB151" s="25">
        <v>-2055029</v>
      </c>
      <c r="AC151" s="25">
        <v>325168</v>
      </c>
      <c r="AD151" s="25">
        <v>948941</v>
      </c>
      <c r="AE151" s="25">
        <v>31900754</v>
      </c>
      <c r="AF151" s="25">
        <v>4752312</v>
      </c>
      <c r="AG151" s="25">
        <v>47245173</v>
      </c>
      <c r="AH151" s="25">
        <v>-56247539</v>
      </c>
      <c r="AI151" s="25">
        <v>15296251</v>
      </c>
      <c r="AJ151" s="25">
        <v>82167144</v>
      </c>
      <c r="AK151" s="25">
        <v>62761806</v>
      </c>
      <c r="AL151" s="25">
        <v>35417219</v>
      </c>
      <c r="AM151" s="25">
        <v>-81500</v>
      </c>
      <c r="AN151" s="25">
        <v>-16118817</v>
      </c>
      <c r="AO151" s="25">
        <v>-42647411</v>
      </c>
      <c r="AP151" s="25">
        <v>-44192422</v>
      </c>
      <c r="AQ151" s="25">
        <v>-51878716</v>
      </c>
      <c r="AR151" s="25">
        <v>-52940713</v>
      </c>
    </row>
    <row r="152" spans="1:44" s="26" customFormat="1" x14ac:dyDescent="0.2">
      <c r="A152" s="36" t="s">
        <v>239</v>
      </c>
      <c r="B152" s="25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-548000</v>
      </c>
      <c r="L152" s="25">
        <v>-4021410</v>
      </c>
      <c r="M152" s="25">
        <v>323913331</v>
      </c>
      <c r="N152" s="25">
        <v>-8330011</v>
      </c>
      <c r="O152" s="25">
        <v>8321676</v>
      </c>
      <c r="P152" s="25">
        <v>-9670179</v>
      </c>
      <c r="Q152" s="25">
        <v>12355629</v>
      </c>
      <c r="R152" s="25">
        <v>-36816414</v>
      </c>
      <c r="S152" s="25">
        <v>-4249112</v>
      </c>
      <c r="T152" s="25">
        <v>-34644114</v>
      </c>
      <c r="U152" s="25">
        <v>-53102705</v>
      </c>
      <c r="V152" s="25">
        <v>-25611545</v>
      </c>
      <c r="W152" s="25">
        <v>-34454835</v>
      </c>
      <c r="X152" s="25">
        <v>-31711681</v>
      </c>
      <c r="Y152" s="25">
        <v>-38823884</v>
      </c>
      <c r="Z152" s="25">
        <v>-8080807</v>
      </c>
      <c r="AA152" s="25">
        <v>-13346638</v>
      </c>
      <c r="AB152" s="25">
        <v>-12993612</v>
      </c>
      <c r="AC152" s="25">
        <v>-10441646</v>
      </c>
      <c r="AD152" s="25">
        <v>-11167022</v>
      </c>
      <c r="AE152" s="25">
        <v>42744</v>
      </c>
      <c r="AF152" s="25">
        <v>175708</v>
      </c>
      <c r="AG152" s="25">
        <v>-2648628</v>
      </c>
      <c r="AH152" s="25">
        <v>-9793988</v>
      </c>
      <c r="AI152" s="25">
        <v>-7120306</v>
      </c>
      <c r="AJ152" s="25">
        <v>-1101648</v>
      </c>
      <c r="AK152" s="25">
        <v>-5147225</v>
      </c>
      <c r="AL152" s="25">
        <v>-4261478</v>
      </c>
      <c r="AM152" s="25">
        <v>-2970809</v>
      </c>
      <c r="AN152" s="25">
        <v>-2712804</v>
      </c>
      <c r="AO152" s="25">
        <v>-2847128</v>
      </c>
      <c r="AP152" s="25">
        <v>-885937</v>
      </c>
      <c r="AQ152" s="25">
        <v>-641397</v>
      </c>
      <c r="AR152" s="25">
        <v>-2397680</v>
      </c>
    </row>
    <row r="153" spans="1:44" s="26" customFormat="1" x14ac:dyDescent="0.2">
      <c r="A153" s="36" t="s">
        <v>60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0</v>
      </c>
      <c r="AD153" s="25">
        <v>0</v>
      </c>
      <c r="AE153" s="25">
        <v>0</v>
      </c>
      <c r="AF153" s="25">
        <v>0</v>
      </c>
      <c r="AG153" s="25">
        <v>0</v>
      </c>
      <c r="AH153" s="25">
        <v>10301102</v>
      </c>
      <c r="AI153" s="25">
        <v>9119583</v>
      </c>
      <c r="AJ153" s="25">
        <v>10012186</v>
      </c>
      <c r="AK153" s="25">
        <v>-4136819</v>
      </c>
      <c r="AL153" s="25">
        <v>1910989</v>
      </c>
      <c r="AM153" s="25">
        <v>-2589213</v>
      </c>
      <c r="AN153" s="25">
        <v>-176387</v>
      </c>
      <c r="AO153" s="25">
        <v>-2840903</v>
      </c>
      <c r="AP153" s="25">
        <v>-5438412</v>
      </c>
      <c r="AQ153" s="25">
        <v>-3542227</v>
      </c>
      <c r="AR153" s="25">
        <v>1958631</v>
      </c>
    </row>
    <row r="154" spans="1:44" s="26" customFormat="1" x14ac:dyDescent="0.2">
      <c r="A154" s="36" t="s">
        <v>70</v>
      </c>
      <c r="B154" s="25">
        <v>-1475167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1261066</v>
      </c>
      <c r="I154" s="25">
        <v>1454313</v>
      </c>
      <c r="J154" s="25">
        <v>1000000</v>
      </c>
      <c r="K154" s="25">
        <v>-456000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0</v>
      </c>
      <c r="AD154" s="25">
        <v>0</v>
      </c>
      <c r="AE154" s="25">
        <v>0</v>
      </c>
      <c r="AF154" s="25">
        <v>0</v>
      </c>
      <c r="AG154" s="25">
        <v>0</v>
      </c>
      <c r="AH154" s="25">
        <v>0</v>
      </c>
      <c r="AI154" s="25">
        <v>0</v>
      </c>
      <c r="AJ154" s="25">
        <v>0</v>
      </c>
      <c r="AK154" s="25">
        <v>0</v>
      </c>
      <c r="AL154" s="25">
        <v>0</v>
      </c>
      <c r="AM154" s="25">
        <v>0</v>
      </c>
      <c r="AN154" s="25">
        <v>0</v>
      </c>
      <c r="AO154" s="25">
        <v>0</v>
      </c>
      <c r="AP154" s="25">
        <v>0</v>
      </c>
      <c r="AQ154" s="25">
        <v>0</v>
      </c>
      <c r="AR154" s="25">
        <v>0</v>
      </c>
    </row>
    <row r="155" spans="1:44" s="26" customFormat="1" x14ac:dyDescent="0.2">
      <c r="A155" s="36" t="s">
        <v>75</v>
      </c>
      <c r="B155" s="25">
        <v>0</v>
      </c>
      <c r="C155" s="25">
        <v>3231000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  <c r="AD155" s="25">
        <v>0</v>
      </c>
      <c r="AE155" s="25">
        <v>0</v>
      </c>
      <c r="AF155" s="25">
        <v>0</v>
      </c>
      <c r="AG155" s="25">
        <v>0</v>
      </c>
      <c r="AH155" s="25">
        <v>0</v>
      </c>
      <c r="AI155" s="25">
        <v>0</v>
      </c>
      <c r="AJ155" s="25">
        <v>0</v>
      </c>
      <c r="AK155" s="25">
        <v>0</v>
      </c>
      <c r="AL155" s="25">
        <v>0</v>
      </c>
      <c r="AM155" s="25">
        <v>0</v>
      </c>
      <c r="AN155" s="25">
        <v>0</v>
      </c>
      <c r="AO155" s="25">
        <v>0</v>
      </c>
      <c r="AP155" s="25">
        <v>0</v>
      </c>
      <c r="AQ155" s="25">
        <v>0</v>
      </c>
      <c r="AR155" s="25">
        <v>0</v>
      </c>
    </row>
    <row r="156" spans="1:44" s="26" customFormat="1" x14ac:dyDescent="0.2">
      <c r="A156" s="36" t="s">
        <v>240</v>
      </c>
      <c r="B156" s="25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1772300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25">
        <v>0</v>
      </c>
      <c r="AE156" s="25">
        <v>0</v>
      </c>
      <c r="AF156" s="25">
        <v>0</v>
      </c>
      <c r="AG156" s="25">
        <v>0</v>
      </c>
      <c r="AH156" s="25">
        <v>0</v>
      </c>
      <c r="AI156" s="25">
        <v>0</v>
      </c>
      <c r="AJ156" s="25">
        <v>0</v>
      </c>
      <c r="AK156" s="25">
        <v>0</v>
      </c>
      <c r="AL156" s="25">
        <v>0</v>
      </c>
      <c r="AM156" s="25">
        <v>0</v>
      </c>
      <c r="AN156" s="25">
        <v>0</v>
      </c>
      <c r="AO156" s="25">
        <v>0</v>
      </c>
      <c r="AP156" s="25">
        <v>0</v>
      </c>
      <c r="AQ156" s="25">
        <v>0</v>
      </c>
      <c r="AR156" s="25">
        <v>0</v>
      </c>
    </row>
    <row r="157" spans="1:44" s="26" customFormat="1" x14ac:dyDescent="0.2">
      <c r="A157" s="36" t="s">
        <v>89</v>
      </c>
      <c r="B157" s="25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7093000</v>
      </c>
      <c r="L157" s="25">
        <v>5011365</v>
      </c>
      <c r="M157" s="25">
        <v>13102971</v>
      </c>
      <c r="N157" s="25">
        <v>5783401</v>
      </c>
      <c r="O157" s="25">
        <v>1251186</v>
      </c>
      <c r="P157" s="25">
        <v>4479976</v>
      </c>
      <c r="Q157" s="25">
        <v>9612303</v>
      </c>
      <c r="R157" s="25">
        <v>-20108962</v>
      </c>
      <c r="S157" s="25">
        <v>3039399</v>
      </c>
      <c r="T157" s="25">
        <v>41537038</v>
      </c>
      <c r="U157" s="25">
        <v>-10978813</v>
      </c>
      <c r="V157" s="25">
        <v>-51186468</v>
      </c>
      <c r="W157" s="25">
        <v>-19051997</v>
      </c>
      <c r="X157" s="25">
        <v>-2622645</v>
      </c>
      <c r="Y157" s="25">
        <v>-1985973</v>
      </c>
      <c r="Z157" s="25">
        <v>0</v>
      </c>
      <c r="AA157" s="25">
        <v>0</v>
      </c>
      <c r="AB157" s="25">
        <v>0</v>
      </c>
      <c r="AC157" s="25">
        <v>0</v>
      </c>
      <c r="AD157" s="25">
        <v>0</v>
      </c>
      <c r="AE157" s="25">
        <v>0</v>
      </c>
      <c r="AF157" s="25">
        <v>0</v>
      </c>
      <c r="AG157" s="25">
        <v>0</v>
      </c>
      <c r="AH157" s="25">
        <v>0</v>
      </c>
      <c r="AI157" s="25">
        <v>0</v>
      </c>
      <c r="AJ157" s="25">
        <v>0</v>
      </c>
      <c r="AK157" s="25">
        <v>0</v>
      </c>
      <c r="AL157" s="25">
        <v>0</v>
      </c>
      <c r="AM157" s="25">
        <v>0</v>
      </c>
      <c r="AN157" s="25">
        <v>0</v>
      </c>
      <c r="AO157" s="25">
        <v>0</v>
      </c>
      <c r="AP157" s="25">
        <v>0</v>
      </c>
      <c r="AQ157" s="25">
        <v>0</v>
      </c>
      <c r="AR157" s="25">
        <v>0</v>
      </c>
    </row>
    <row r="158" spans="1:44" s="29" customFormat="1" ht="12.5" thickBot="1" x14ac:dyDescent="0.25">
      <c r="A158" s="37" t="s">
        <v>61</v>
      </c>
      <c r="B158" s="40">
        <v>24331806</v>
      </c>
      <c r="C158" s="40">
        <v>41231000</v>
      </c>
      <c r="D158" s="40">
        <v>28349910</v>
      </c>
      <c r="E158" s="40">
        <v>56295235</v>
      </c>
      <c r="F158" s="40">
        <v>120712000</v>
      </c>
      <c r="G158" s="40">
        <v>-10434756</v>
      </c>
      <c r="H158" s="40">
        <v>4348659</v>
      </c>
      <c r="I158" s="40">
        <v>23507324</v>
      </c>
      <c r="J158" s="40">
        <v>72514394</v>
      </c>
      <c r="K158" s="40">
        <v>4493000</v>
      </c>
      <c r="L158" s="40">
        <v>-62243659</v>
      </c>
      <c r="M158" s="40">
        <v>429143957</v>
      </c>
      <c r="N158" s="40">
        <v>170813492</v>
      </c>
      <c r="O158" s="40">
        <v>188610772</v>
      </c>
      <c r="P158" s="40">
        <v>237943671</v>
      </c>
      <c r="Q158" s="40">
        <v>315654159</v>
      </c>
      <c r="R158" s="40">
        <v>324393212</v>
      </c>
      <c r="S158" s="40">
        <v>330767181</v>
      </c>
      <c r="T158" s="40">
        <v>368092694</v>
      </c>
      <c r="U158" s="40">
        <v>127610042</v>
      </c>
      <c r="V158" s="40">
        <v>521251392</v>
      </c>
      <c r="W158" s="40">
        <v>422340113</v>
      </c>
      <c r="X158" s="40">
        <v>98319809</v>
      </c>
      <c r="Y158" s="40">
        <v>483733192</v>
      </c>
      <c r="Z158" s="40">
        <v>832666296</v>
      </c>
      <c r="AA158" s="40">
        <v>643598897</v>
      </c>
      <c r="AB158" s="40">
        <v>866971978</v>
      </c>
      <c r="AC158" s="40">
        <v>640734231</v>
      </c>
      <c r="AD158" s="40">
        <v>404270532</v>
      </c>
      <c r="AE158" s="40">
        <v>-131235759</v>
      </c>
      <c r="AF158" s="40">
        <v>-373262437</v>
      </c>
      <c r="AG158" s="40">
        <v>-350466622</v>
      </c>
      <c r="AH158" s="40">
        <v>-947559623</v>
      </c>
      <c r="AI158" s="40">
        <v>-764440796</v>
      </c>
      <c r="AJ158" s="40">
        <v>-383481978</v>
      </c>
      <c r="AK158" s="40">
        <v>-381674801</v>
      </c>
      <c r="AL158" s="40">
        <v>-471569581</v>
      </c>
      <c r="AM158" s="40">
        <v>-565327411</v>
      </c>
      <c r="AN158" s="40">
        <v>-348907867</v>
      </c>
      <c r="AO158" s="40">
        <v>-334583264</v>
      </c>
      <c r="AP158" s="40">
        <v>-365702914</v>
      </c>
      <c r="AQ158" s="40">
        <v>-361692699</v>
      </c>
      <c r="AR158" s="40">
        <v>-204587749</v>
      </c>
    </row>
    <row r="160" spans="1:44" x14ac:dyDescent="0.2">
      <c r="A160" s="22"/>
      <c r="B160" s="6" t="s">
        <v>138</v>
      </c>
      <c r="C160" s="6" t="s">
        <v>139</v>
      </c>
      <c r="D160" s="6" t="s">
        <v>140</v>
      </c>
      <c r="E160" s="6" t="s">
        <v>141</v>
      </c>
      <c r="F160" s="6" t="s">
        <v>142</v>
      </c>
      <c r="G160" s="6" t="s">
        <v>143</v>
      </c>
      <c r="H160" s="6" t="s">
        <v>144</v>
      </c>
      <c r="I160" s="6" t="s">
        <v>145</v>
      </c>
      <c r="J160" s="6" t="s">
        <v>146</v>
      </c>
      <c r="K160" s="6" t="s">
        <v>150</v>
      </c>
      <c r="L160" s="6" t="s">
        <v>151</v>
      </c>
      <c r="M160" s="6" t="s">
        <v>152</v>
      </c>
      <c r="N160" s="6" t="s">
        <v>153</v>
      </c>
      <c r="O160" s="6" t="s">
        <v>154</v>
      </c>
      <c r="P160" s="6" t="s">
        <v>155</v>
      </c>
      <c r="Q160" s="6" t="s">
        <v>156</v>
      </c>
      <c r="R160" s="6" t="s">
        <v>157</v>
      </c>
      <c r="S160" s="6" t="s">
        <v>158</v>
      </c>
      <c r="T160" s="6" t="s">
        <v>159</v>
      </c>
      <c r="U160" s="6" t="s">
        <v>160</v>
      </c>
      <c r="V160" s="6" t="s">
        <v>161</v>
      </c>
      <c r="W160" s="6" t="s">
        <v>162</v>
      </c>
      <c r="X160" s="6" t="s">
        <v>163</v>
      </c>
      <c r="Y160" s="6" t="s">
        <v>164</v>
      </c>
      <c r="Z160" s="6" t="s">
        <v>165</v>
      </c>
      <c r="AA160" s="6" t="s">
        <v>166</v>
      </c>
      <c r="AB160" s="6" t="s">
        <v>167</v>
      </c>
      <c r="AC160" s="6" t="s">
        <v>168</v>
      </c>
      <c r="AD160" s="6" t="s">
        <v>169</v>
      </c>
      <c r="AE160" s="6" t="s">
        <v>170</v>
      </c>
      <c r="AF160" s="6" t="s">
        <v>171</v>
      </c>
      <c r="AG160" s="6" t="s">
        <v>172</v>
      </c>
      <c r="AH160" s="6" t="s">
        <v>173</v>
      </c>
      <c r="AI160" s="6" t="s">
        <v>174</v>
      </c>
      <c r="AJ160" s="6" t="s">
        <v>175</v>
      </c>
      <c r="AK160" s="6" t="s">
        <v>176</v>
      </c>
      <c r="AL160" s="6" t="s">
        <v>177</v>
      </c>
      <c r="AM160" s="6" t="s">
        <v>178</v>
      </c>
      <c r="AN160" s="6" t="s">
        <v>179</v>
      </c>
      <c r="AO160" s="6" t="s">
        <v>180</v>
      </c>
      <c r="AP160" s="6" t="s">
        <v>181</v>
      </c>
      <c r="AQ160" s="6" t="s">
        <v>182</v>
      </c>
      <c r="AR160" s="6" t="s">
        <v>183</v>
      </c>
    </row>
    <row r="161" spans="1:44" ht="24" x14ac:dyDescent="0.2">
      <c r="A161" s="61" t="s">
        <v>241</v>
      </c>
      <c r="B161" s="24">
        <f>B90+B91+B92+B93+B94+B95</f>
        <v>0</v>
      </c>
      <c r="C161" s="24">
        <f t="shared" ref="C161:AR161" si="3">C90+C91+C92+C93+C94+C95</f>
        <v>0</v>
      </c>
      <c r="D161" s="24">
        <f t="shared" si="3"/>
        <v>0</v>
      </c>
      <c r="E161" s="24">
        <f t="shared" si="3"/>
        <v>0</v>
      </c>
      <c r="F161" s="24">
        <f t="shared" si="3"/>
        <v>0</v>
      </c>
      <c r="G161" s="24">
        <f t="shared" si="3"/>
        <v>0</v>
      </c>
      <c r="H161" s="24">
        <f t="shared" si="3"/>
        <v>0</v>
      </c>
      <c r="I161" s="24">
        <f t="shared" si="3"/>
        <v>0</v>
      </c>
      <c r="J161" s="24">
        <f t="shared" si="3"/>
        <v>0</v>
      </c>
      <c r="K161" s="24">
        <f t="shared" si="3"/>
        <v>0</v>
      </c>
      <c r="L161" s="24">
        <f t="shared" si="3"/>
        <v>0</v>
      </c>
      <c r="M161" s="24">
        <f t="shared" si="3"/>
        <v>0</v>
      </c>
      <c r="N161" s="24">
        <f t="shared" si="3"/>
        <v>0</v>
      </c>
      <c r="O161" s="24">
        <f t="shared" si="3"/>
        <v>0</v>
      </c>
      <c r="P161" s="24">
        <f t="shared" si="3"/>
        <v>0</v>
      </c>
      <c r="Q161" s="24">
        <f t="shared" si="3"/>
        <v>0</v>
      </c>
      <c r="R161" s="24">
        <f t="shared" si="3"/>
        <v>0</v>
      </c>
      <c r="S161" s="24">
        <f t="shared" si="3"/>
        <v>0</v>
      </c>
      <c r="T161" s="24">
        <f t="shared" si="3"/>
        <v>0</v>
      </c>
      <c r="U161" s="24">
        <f t="shared" si="3"/>
        <v>0</v>
      </c>
      <c r="V161" s="24">
        <f t="shared" si="3"/>
        <v>0</v>
      </c>
      <c r="W161" s="24">
        <f t="shared" si="3"/>
        <v>0</v>
      </c>
      <c r="X161" s="24">
        <f t="shared" si="3"/>
        <v>233344641</v>
      </c>
      <c r="Y161" s="24">
        <f t="shared" si="3"/>
        <v>388803810</v>
      </c>
      <c r="Z161" s="24">
        <f t="shared" si="3"/>
        <v>792617043</v>
      </c>
      <c r="AA161" s="24">
        <f t="shared" si="3"/>
        <v>665374591</v>
      </c>
      <c r="AB161" s="24">
        <f t="shared" si="3"/>
        <v>659946832</v>
      </c>
      <c r="AC161" s="24">
        <f t="shared" si="3"/>
        <v>534330550</v>
      </c>
      <c r="AD161" s="24">
        <f t="shared" si="3"/>
        <v>192719964</v>
      </c>
      <c r="AE161" s="24">
        <f t="shared" si="3"/>
        <v>-157928324</v>
      </c>
      <c r="AF161" s="24">
        <f t="shared" si="3"/>
        <v>-252095438</v>
      </c>
      <c r="AG161" s="24">
        <f t="shared" si="3"/>
        <v>-273543169</v>
      </c>
      <c r="AH161" s="24">
        <f t="shared" si="3"/>
        <v>-810394495</v>
      </c>
      <c r="AI161" s="24">
        <f t="shared" si="3"/>
        <v>-638633636</v>
      </c>
      <c r="AJ161" s="24">
        <f t="shared" si="3"/>
        <v>-310344780</v>
      </c>
      <c r="AK161" s="24">
        <f t="shared" si="3"/>
        <v>-368149752</v>
      </c>
      <c r="AL161" s="24">
        <f t="shared" si="3"/>
        <v>-412564609</v>
      </c>
      <c r="AM161" s="24">
        <f t="shared" si="3"/>
        <v>-474261141</v>
      </c>
      <c r="AN161" s="24">
        <f t="shared" si="3"/>
        <v>-288289358</v>
      </c>
      <c r="AO161" s="24">
        <f t="shared" si="3"/>
        <v>-241669997</v>
      </c>
      <c r="AP161" s="24">
        <f t="shared" si="3"/>
        <v>-250670207</v>
      </c>
      <c r="AQ161" s="24">
        <f t="shared" si="3"/>
        <v>-238031981</v>
      </c>
      <c r="AR161" s="24">
        <f t="shared" si="3"/>
        <v>-100570239</v>
      </c>
    </row>
    <row r="162" spans="1:44" x14ac:dyDescent="0.2">
      <c r="A162" s="61" t="s">
        <v>245</v>
      </c>
      <c r="B162" s="24">
        <f>B121+B130+B131+B132+B133</f>
        <v>0</v>
      </c>
      <c r="C162" s="24">
        <f t="shared" ref="C162:AR162" si="4">C121+C130+C131+C132+C133</f>
        <v>0</v>
      </c>
      <c r="D162" s="24">
        <f t="shared" si="4"/>
        <v>0</v>
      </c>
      <c r="E162" s="24">
        <f t="shared" si="4"/>
        <v>0</v>
      </c>
      <c r="F162" s="24">
        <f t="shared" si="4"/>
        <v>11101000</v>
      </c>
      <c r="G162" s="24">
        <f t="shared" si="4"/>
        <v>457204</v>
      </c>
      <c r="H162" s="24">
        <f t="shared" si="4"/>
        <v>1618897</v>
      </c>
      <c r="I162" s="24">
        <f t="shared" si="4"/>
        <v>-242280</v>
      </c>
      <c r="J162" s="24">
        <f t="shared" si="4"/>
        <v>2548842</v>
      </c>
      <c r="K162" s="24">
        <f t="shared" si="4"/>
        <v>18556000</v>
      </c>
      <c r="L162" s="24">
        <f t="shared" si="4"/>
        <v>39630150</v>
      </c>
      <c r="M162" s="24">
        <f t="shared" si="4"/>
        <v>363504937</v>
      </c>
      <c r="N162" s="24">
        <f t="shared" si="4"/>
        <v>106128700</v>
      </c>
      <c r="O162" s="24">
        <f t="shared" si="4"/>
        <v>9520891</v>
      </c>
      <c r="P162" s="24">
        <f t="shared" si="4"/>
        <v>18530213</v>
      </c>
      <c r="Q162" s="24">
        <f t="shared" si="4"/>
        <v>8582294</v>
      </c>
      <c r="R162" s="24">
        <f t="shared" si="4"/>
        <v>-82613556</v>
      </c>
      <c r="S162" s="24">
        <f t="shared" si="4"/>
        <v>-56485210</v>
      </c>
      <c r="T162" s="24">
        <f t="shared" si="4"/>
        <v>-42221437</v>
      </c>
      <c r="U162" s="24">
        <f t="shared" si="4"/>
        <v>-80597214</v>
      </c>
      <c r="V162" s="24">
        <f t="shared" si="4"/>
        <v>4599698</v>
      </c>
      <c r="W162" s="24">
        <f t="shared" si="4"/>
        <v>-15836501</v>
      </c>
      <c r="X162" s="24">
        <f t="shared" si="4"/>
        <v>-31711681</v>
      </c>
      <c r="Y162" s="24">
        <f t="shared" si="4"/>
        <v>-38823884</v>
      </c>
      <c r="Z162" s="24">
        <f t="shared" si="4"/>
        <v>-8080807</v>
      </c>
      <c r="AA162" s="24">
        <f t="shared" si="4"/>
        <v>-13346638</v>
      </c>
      <c r="AB162" s="24">
        <f t="shared" si="4"/>
        <v>-12993612</v>
      </c>
      <c r="AC162" s="24">
        <f t="shared" si="4"/>
        <v>-10441646</v>
      </c>
      <c r="AD162" s="24">
        <f t="shared" si="4"/>
        <v>-11167022</v>
      </c>
      <c r="AE162" s="24">
        <f t="shared" si="4"/>
        <v>42744</v>
      </c>
      <c r="AF162" s="24">
        <f t="shared" si="4"/>
        <v>175708</v>
      </c>
      <c r="AG162" s="24">
        <f t="shared" si="4"/>
        <v>-2648628</v>
      </c>
      <c r="AH162" s="24">
        <f t="shared" si="4"/>
        <v>-9793988</v>
      </c>
      <c r="AI162" s="24">
        <f t="shared" si="4"/>
        <v>-7120306</v>
      </c>
      <c r="AJ162" s="24">
        <f t="shared" si="4"/>
        <v>-1101648</v>
      </c>
      <c r="AK162" s="24">
        <f t="shared" si="4"/>
        <v>-5147225</v>
      </c>
      <c r="AL162" s="24">
        <f t="shared" si="4"/>
        <v>-4261478</v>
      </c>
      <c r="AM162" s="24">
        <f t="shared" si="4"/>
        <v>-2970809</v>
      </c>
      <c r="AN162" s="24">
        <f t="shared" si="4"/>
        <v>-2712804</v>
      </c>
      <c r="AO162" s="24">
        <f t="shared" si="4"/>
        <v>-2847128</v>
      </c>
      <c r="AP162" s="24">
        <f t="shared" si="4"/>
        <v>-885937</v>
      </c>
      <c r="AQ162" s="24">
        <f t="shared" si="4"/>
        <v>-641397</v>
      </c>
      <c r="AR162" s="24">
        <f t="shared" si="4"/>
        <v>-2397680</v>
      </c>
    </row>
    <row r="163" spans="1:44" x14ac:dyDescent="0.2">
      <c r="A163" s="61" t="s">
        <v>246</v>
      </c>
      <c r="B163" s="24">
        <f>B158-B161-B162</f>
        <v>24331806</v>
      </c>
      <c r="C163" s="24">
        <f t="shared" ref="C163:AR163" si="5">C158-C161-C162</f>
        <v>41231000</v>
      </c>
      <c r="D163" s="24">
        <f t="shared" si="5"/>
        <v>28349910</v>
      </c>
      <c r="E163" s="24">
        <f t="shared" si="5"/>
        <v>56295235</v>
      </c>
      <c r="F163" s="24">
        <f t="shared" si="5"/>
        <v>109611000</v>
      </c>
      <c r="G163" s="24">
        <f t="shared" si="5"/>
        <v>-10891960</v>
      </c>
      <c r="H163" s="24">
        <f t="shared" si="5"/>
        <v>2729762</v>
      </c>
      <c r="I163" s="24">
        <f t="shared" si="5"/>
        <v>23749604</v>
      </c>
      <c r="J163" s="24">
        <f t="shared" si="5"/>
        <v>69965552</v>
      </c>
      <c r="K163" s="24">
        <f t="shared" si="5"/>
        <v>-14063000</v>
      </c>
      <c r="L163" s="24">
        <f t="shared" si="5"/>
        <v>-101873809</v>
      </c>
      <c r="M163" s="24">
        <f t="shared" si="5"/>
        <v>65639020</v>
      </c>
      <c r="N163" s="24">
        <f t="shared" si="5"/>
        <v>64684792</v>
      </c>
      <c r="O163" s="24">
        <f t="shared" si="5"/>
        <v>179089881</v>
      </c>
      <c r="P163" s="24">
        <f t="shared" si="5"/>
        <v>219413458</v>
      </c>
      <c r="Q163" s="24">
        <f t="shared" si="5"/>
        <v>307071865</v>
      </c>
      <c r="R163" s="24">
        <f t="shared" si="5"/>
        <v>407006768</v>
      </c>
      <c r="S163" s="24">
        <f t="shared" si="5"/>
        <v>387252391</v>
      </c>
      <c r="T163" s="24">
        <f t="shared" si="5"/>
        <v>410314131</v>
      </c>
      <c r="U163" s="24">
        <f t="shared" si="5"/>
        <v>208207256</v>
      </c>
      <c r="V163" s="24">
        <f t="shared" si="5"/>
        <v>516651694</v>
      </c>
      <c r="W163" s="24">
        <f t="shared" si="5"/>
        <v>438176614</v>
      </c>
      <c r="X163" s="24">
        <f t="shared" si="5"/>
        <v>-103313151</v>
      </c>
      <c r="Y163" s="24">
        <f t="shared" si="5"/>
        <v>133753266</v>
      </c>
      <c r="Z163" s="24">
        <f t="shared" si="5"/>
        <v>48130060</v>
      </c>
      <c r="AA163" s="24">
        <f t="shared" si="5"/>
        <v>-8429056</v>
      </c>
      <c r="AB163" s="24">
        <f t="shared" si="5"/>
        <v>220018758</v>
      </c>
      <c r="AC163" s="24">
        <f t="shared" si="5"/>
        <v>116845327</v>
      </c>
      <c r="AD163" s="24">
        <f t="shared" si="5"/>
        <v>222717590</v>
      </c>
      <c r="AE163" s="24">
        <f t="shared" si="5"/>
        <v>26649821</v>
      </c>
      <c r="AF163" s="24">
        <f t="shared" si="5"/>
        <v>-121342707</v>
      </c>
      <c r="AG163" s="24">
        <f t="shared" si="5"/>
        <v>-74274825</v>
      </c>
      <c r="AH163" s="24">
        <f t="shared" si="5"/>
        <v>-127371140</v>
      </c>
      <c r="AI163" s="24">
        <f t="shared" si="5"/>
        <v>-118686854</v>
      </c>
      <c r="AJ163" s="24">
        <f t="shared" si="5"/>
        <v>-72035550</v>
      </c>
      <c r="AK163" s="24">
        <f t="shared" si="5"/>
        <v>-8377824</v>
      </c>
      <c r="AL163" s="24">
        <f t="shared" si="5"/>
        <v>-54743494</v>
      </c>
      <c r="AM163" s="24">
        <f t="shared" si="5"/>
        <v>-88095461</v>
      </c>
      <c r="AN163" s="24">
        <f t="shared" si="5"/>
        <v>-57905705</v>
      </c>
      <c r="AO163" s="24">
        <f t="shared" si="5"/>
        <v>-90066139</v>
      </c>
      <c r="AP163" s="24">
        <f t="shared" si="5"/>
        <v>-114146770</v>
      </c>
      <c r="AQ163" s="24">
        <f t="shared" si="5"/>
        <v>-123019321</v>
      </c>
      <c r="AR163" s="24">
        <f t="shared" si="5"/>
        <v>-101619830</v>
      </c>
    </row>
  </sheetData>
  <phoneticPr fontId="2"/>
  <pageMargins left="0.51181102362204722" right="0.51181102362204722" top="0.55118110236220474" bottom="0.55118110236220474" header="0.31496062992125984" footer="0.31496062992125984"/>
  <pageSetup paperSize="9" scale="98" fitToWidth="0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7BCA-84B3-49B3-96C6-276F35899F84}">
  <sheetPr>
    <pageSetUpPr fitToPage="1"/>
  </sheetPr>
  <dimension ref="A1:J63"/>
  <sheetViews>
    <sheetView workbookViewId="0">
      <selection activeCell="A2" sqref="A2"/>
    </sheetView>
  </sheetViews>
  <sheetFormatPr defaultRowHeight="13" x14ac:dyDescent="0.2"/>
  <cols>
    <col min="1" max="1" width="15.81640625" style="33" customWidth="1"/>
    <col min="2" max="2" width="5.453125" style="7" customWidth="1"/>
    <col min="3" max="3" width="12.453125" style="7" customWidth="1"/>
    <col min="4" max="4" width="5.7265625" style="7" customWidth="1"/>
    <col min="5" max="5" width="12.6328125" style="7" customWidth="1"/>
    <col min="6" max="6" width="5.26953125" style="7" customWidth="1"/>
    <col min="7" max="8" width="13.6328125" style="7" bestFit="1" customWidth="1"/>
    <col min="9" max="9" width="12.26953125" style="7" customWidth="1"/>
    <col min="10" max="10" width="6.26953125" style="8" customWidth="1"/>
  </cols>
  <sheetData>
    <row r="1" spans="1:10" x14ac:dyDescent="0.2">
      <c r="A1" s="33" t="s">
        <v>0</v>
      </c>
      <c r="B1" s="6" t="s">
        <v>165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>
        <v>0</v>
      </c>
      <c r="C6" s="24">
        <v>0</v>
      </c>
      <c r="D6" s="24">
        <v>2</v>
      </c>
      <c r="E6" s="24">
        <v>2611638</v>
      </c>
      <c r="F6" s="24">
        <v>10</v>
      </c>
      <c r="G6" s="24">
        <v>4845950</v>
      </c>
      <c r="H6" s="24">
        <v>6065326</v>
      </c>
      <c r="I6" s="24">
        <v>793788</v>
      </c>
      <c r="J6" s="38">
        <v>0.13089999999999999</v>
      </c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>
        <v>404</v>
      </c>
      <c r="C8" s="24">
        <v>1032640000</v>
      </c>
      <c r="D8" s="24">
        <v>189</v>
      </c>
      <c r="E8" s="24">
        <v>669631183</v>
      </c>
      <c r="F8" s="24">
        <v>1364</v>
      </c>
      <c r="G8" s="24">
        <v>2442846870</v>
      </c>
      <c r="H8" s="24">
        <v>2251259437</v>
      </c>
      <c r="I8" s="24">
        <v>212296012</v>
      </c>
      <c r="J8" s="38">
        <v>9.4299999999999995E-2</v>
      </c>
    </row>
    <row r="9" spans="1:10" x14ac:dyDescent="0.2">
      <c r="A9" s="35" t="s">
        <v>35</v>
      </c>
      <c r="B9" s="24">
        <v>0</v>
      </c>
      <c r="C9" s="24">
        <v>0</v>
      </c>
      <c r="D9" s="24">
        <v>0</v>
      </c>
      <c r="E9" s="24">
        <v>120431</v>
      </c>
      <c r="F9" s="24">
        <v>1</v>
      </c>
      <c r="G9" s="24">
        <v>83664</v>
      </c>
      <c r="H9" s="24">
        <v>142041</v>
      </c>
      <c r="I9" s="24">
        <v>7405</v>
      </c>
      <c r="J9" s="38">
        <v>5.21E-2</v>
      </c>
    </row>
    <row r="10" spans="1:10" x14ac:dyDescent="0.2">
      <c r="A10" s="35" t="s">
        <v>36</v>
      </c>
      <c r="B10" s="24">
        <v>12</v>
      </c>
      <c r="C10" s="24">
        <v>32400000</v>
      </c>
      <c r="D10" s="24">
        <v>9</v>
      </c>
      <c r="E10" s="24">
        <v>40298472</v>
      </c>
      <c r="F10" s="24">
        <v>93</v>
      </c>
      <c r="G10" s="24">
        <v>145747519</v>
      </c>
      <c r="H10" s="24">
        <v>148641823</v>
      </c>
      <c r="I10" s="24">
        <v>17765767</v>
      </c>
      <c r="J10" s="38">
        <v>0.1195</v>
      </c>
    </row>
    <row r="11" spans="1:10" x14ac:dyDescent="0.2">
      <c r="A11" s="35" t="s">
        <v>37</v>
      </c>
      <c r="B11" s="24">
        <v>259</v>
      </c>
      <c r="C11" s="24">
        <v>811320000</v>
      </c>
      <c r="D11" s="24">
        <v>81</v>
      </c>
      <c r="E11" s="24">
        <v>373692871</v>
      </c>
      <c r="F11" s="24">
        <v>685</v>
      </c>
      <c r="G11" s="24">
        <v>1464381036</v>
      </c>
      <c r="H11" s="24">
        <v>1275522349</v>
      </c>
      <c r="I11" s="24">
        <v>118418945</v>
      </c>
      <c r="J11" s="38">
        <v>9.2799999999999994E-2</v>
      </c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>
        <v>79</v>
      </c>
      <c r="C14" s="24">
        <v>97678000</v>
      </c>
      <c r="D14" s="24">
        <v>52</v>
      </c>
      <c r="E14" s="24">
        <v>91906187</v>
      </c>
      <c r="F14" s="24">
        <v>236</v>
      </c>
      <c r="G14" s="24">
        <v>191765054</v>
      </c>
      <c r="H14" s="24">
        <v>195948389</v>
      </c>
      <c r="I14" s="24">
        <v>20606097</v>
      </c>
      <c r="J14" s="38">
        <v>0.1052</v>
      </c>
    </row>
    <row r="15" spans="1:10" x14ac:dyDescent="0.2">
      <c r="A15" s="35" t="s">
        <v>41</v>
      </c>
      <c r="B15" s="24">
        <v>15</v>
      </c>
      <c r="C15" s="24">
        <v>12510000</v>
      </c>
      <c r="D15" s="24">
        <v>14</v>
      </c>
      <c r="E15" s="24">
        <v>11845444</v>
      </c>
      <c r="F15" s="24">
        <v>46</v>
      </c>
      <c r="G15" s="24">
        <v>35554770</v>
      </c>
      <c r="H15" s="24">
        <v>35770661</v>
      </c>
      <c r="I15" s="24">
        <v>3719755</v>
      </c>
      <c r="J15" s="38">
        <v>0.105</v>
      </c>
    </row>
    <row r="16" spans="1:10" x14ac:dyDescent="0.2">
      <c r="A16" s="35" t="s">
        <v>42</v>
      </c>
      <c r="B16" s="24"/>
      <c r="C16" s="24"/>
      <c r="D16" s="24"/>
      <c r="E16" s="24"/>
      <c r="F16" s="24"/>
      <c r="G16" s="24"/>
      <c r="H16" s="24"/>
      <c r="I16" s="24"/>
      <c r="J16" s="38"/>
    </row>
    <row r="17" spans="1:10" x14ac:dyDescent="0.2">
      <c r="A17" s="36" t="s">
        <v>73</v>
      </c>
      <c r="B17" s="25">
        <v>769</v>
      </c>
      <c r="C17" s="25">
        <v>1986548000</v>
      </c>
      <c r="D17" s="25">
        <v>347</v>
      </c>
      <c r="E17" s="25">
        <v>1190106226</v>
      </c>
      <c r="F17" s="25">
        <v>2435</v>
      </c>
      <c r="G17" s="25">
        <v>4285224863</v>
      </c>
      <c r="H17" s="25">
        <v>3913350026</v>
      </c>
      <c r="I17" s="25">
        <v>373607769</v>
      </c>
      <c r="J17" s="39">
        <v>9.9971428571428572E-2</v>
      </c>
    </row>
    <row r="18" spans="1:10" x14ac:dyDescent="0.2">
      <c r="A18" s="35" t="s">
        <v>90</v>
      </c>
      <c r="B18" s="24">
        <v>8</v>
      </c>
      <c r="C18" s="24">
        <v>1823660</v>
      </c>
      <c r="D18" s="24">
        <v>27</v>
      </c>
      <c r="E18" s="24">
        <v>2687960</v>
      </c>
      <c r="F18" s="24">
        <v>8</v>
      </c>
      <c r="G18" s="24">
        <v>1064800</v>
      </c>
      <c r="H18" s="24">
        <v>1707928</v>
      </c>
      <c r="I18" s="24">
        <v>178623</v>
      </c>
      <c r="J18" s="38">
        <v>0.1046</v>
      </c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11</v>
      </c>
      <c r="C25" s="24">
        <v>16734900</v>
      </c>
      <c r="D25" s="24">
        <v>8</v>
      </c>
      <c r="E25" s="24">
        <v>10285900</v>
      </c>
      <c r="F25" s="24">
        <v>37</v>
      </c>
      <c r="G25" s="24">
        <v>37030500</v>
      </c>
      <c r="H25" s="24">
        <v>28846176</v>
      </c>
      <c r="I25" s="24">
        <v>2207620</v>
      </c>
      <c r="J25" s="38">
        <v>7.6499999999999999E-2</v>
      </c>
    </row>
    <row r="26" spans="1:10" x14ac:dyDescent="0.2">
      <c r="A26" s="35" t="s">
        <v>111</v>
      </c>
      <c r="B26" s="24">
        <v>3</v>
      </c>
      <c r="C26" s="24">
        <v>629279</v>
      </c>
      <c r="D26" s="24">
        <v>2</v>
      </c>
      <c r="E26" s="24">
        <v>565079</v>
      </c>
      <c r="F26" s="24">
        <v>4</v>
      </c>
      <c r="G26" s="24">
        <v>433200</v>
      </c>
      <c r="H26" s="24">
        <v>452698</v>
      </c>
      <c r="I26" s="24">
        <v>56510</v>
      </c>
      <c r="J26" s="38">
        <v>0.12479999999999999</v>
      </c>
    </row>
    <row r="27" spans="1:10" ht="24" x14ac:dyDescent="0.2">
      <c r="A27" s="35" t="s">
        <v>91</v>
      </c>
      <c r="B27" s="24">
        <v>47</v>
      </c>
      <c r="C27" s="24">
        <v>15830704</v>
      </c>
      <c r="D27" s="24">
        <v>54</v>
      </c>
      <c r="E27" s="24">
        <v>25130015</v>
      </c>
      <c r="F27" s="24">
        <v>107</v>
      </c>
      <c r="G27" s="24">
        <v>32238799</v>
      </c>
      <c r="H27" s="24">
        <v>31983543</v>
      </c>
      <c r="I27" s="24">
        <v>3795774</v>
      </c>
      <c r="J27" s="38">
        <v>0.1187</v>
      </c>
    </row>
    <row r="28" spans="1:10" x14ac:dyDescent="0.2">
      <c r="A28" s="35" t="s">
        <v>110</v>
      </c>
      <c r="B28" s="24">
        <v>2</v>
      </c>
      <c r="C28" s="24">
        <v>510000</v>
      </c>
      <c r="D28" s="24">
        <v>3</v>
      </c>
      <c r="E28" s="24">
        <v>517900</v>
      </c>
      <c r="F28" s="24">
        <v>3</v>
      </c>
      <c r="G28" s="24">
        <v>657000</v>
      </c>
      <c r="H28" s="24">
        <v>370996</v>
      </c>
      <c r="I28" s="24">
        <v>50838</v>
      </c>
      <c r="J28" s="38">
        <v>0.13700000000000001</v>
      </c>
    </row>
    <row r="29" spans="1:10" x14ac:dyDescent="0.2">
      <c r="A29" s="35" t="s">
        <v>112</v>
      </c>
      <c r="B29" s="24">
        <v>85</v>
      </c>
      <c r="C29" s="24">
        <v>962000</v>
      </c>
      <c r="D29" s="24">
        <v>103</v>
      </c>
      <c r="E29" s="24">
        <v>1175400</v>
      </c>
      <c r="F29" s="24">
        <v>8</v>
      </c>
      <c r="G29" s="24">
        <v>187000</v>
      </c>
      <c r="H29" s="24">
        <v>205707</v>
      </c>
      <c r="I29" s="24">
        <v>0</v>
      </c>
      <c r="J29" s="38">
        <v>0</v>
      </c>
    </row>
    <row r="30" spans="1:10" x14ac:dyDescent="0.2">
      <c r="A30" s="35" t="s">
        <v>113</v>
      </c>
      <c r="B30" s="24">
        <v>258</v>
      </c>
      <c r="C30" s="24">
        <v>581940</v>
      </c>
      <c r="D30" s="24">
        <v>267</v>
      </c>
      <c r="E30" s="24">
        <v>759790</v>
      </c>
      <c r="F30" s="24">
        <v>4</v>
      </c>
      <c r="G30" s="24">
        <v>54950</v>
      </c>
      <c r="H30" s="24">
        <v>105665</v>
      </c>
      <c r="I30" s="24">
        <v>0</v>
      </c>
      <c r="J30" s="38">
        <v>0</v>
      </c>
    </row>
    <row r="31" spans="1:10" x14ac:dyDescent="0.2">
      <c r="A31" s="36" t="s">
        <v>73</v>
      </c>
      <c r="B31" s="25">
        <v>414</v>
      </c>
      <c r="C31" s="25">
        <v>37072483</v>
      </c>
      <c r="D31" s="25">
        <v>464</v>
      </c>
      <c r="E31" s="25">
        <v>41122044</v>
      </c>
      <c r="F31" s="25">
        <v>171</v>
      </c>
      <c r="G31" s="25">
        <v>71666249</v>
      </c>
      <c r="H31" s="25">
        <v>63672713</v>
      </c>
      <c r="I31" s="25">
        <v>6289365</v>
      </c>
      <c r="J31" s="39">
        <v>8.0228571428571427E-2</v>
      </c>
    </row>
    <row r="32" spans="1:10" x14ac:dyDescent="0.2">
      <c r="A32" s="35" t="s">
        <v>50</v>
      </c>
      <c r="B32" s="24">
        <v>1</v>
      </c>
      <c r="C32" s="24">
        <v>5000000</v>
      </c>
      <c r="D32" s="24">
        <v>1</v>
      </c>
      <c r="E32" s="24">
        <v>17152885</v>
      </c>
      <c r="F32" s="24">
        <v>20</v>
      </c>
      <c r="G32" s="24">
        <v>76889929</v>
      </c>
      <c r="H32" s="24">
        <v>81895522</v>
      </c>
      <c r="I32" s="24">
        <v>10331394</v>
      </c>
      <c r="J32" s="38">
        <v>0.12620000000000001</v>
      </c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>
        <v>37</v>
      </c>
      <c r="C34" s="24">
        <v>343550000</v>
      </c>
      <c r="D34" s="24">
        <v>22</v>
      </c>
      <c r="E34" s="24">
        <v>330332825</v>
      </c>
      <c r="F34" s="24">
        <v>85</v>
      </c>
      <c r="G34" s="24">
        <v>458925924</v>
      </c>
      <c r="H34" s="24">
        <v>440111460</v>
      </c>
      <c r="I34" s="24">
        <v>59283171</v>
      </c>
      <c r="J34" s="38">
        <v>0.13469999999999999</v>
      </c>
    </row>
    <row r="35" spans="1:10" x14ac:dyDescent="0.2">
      <c r="A35" s="35" t="s">
        <v>52</v>
      </c>
      <c r="B35" s="24">
        <v>8</v>
      </c>
      <c r="C35" s="24">
        <v>61900000</v>
      </c>
      <c r="D35" s="24">
        <v>2</v>
      </c>
      <c r="E35" s="24">
        <v>45774996</v>
      </c>
      <c r="F35" s="24">
        <v>33</v>
      </c>
      <c r="G35" s="24">
        <v>199806216</v>
      </c>
      <c r="H35" s="24">
        <v>180515493</v>
      </c>
      <c r="I35" s="24">
        <v>23291362</v>
      </c>
      <c r="J35" s="38">
        <v>0.129</v>
      </c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46</v>
      </c>
      <c r="C38" s="25">
        <v>410450000</v>
      </c>
      <c r="D38" s="25">
        <v>25</v>
      </c>
      <c r="E38" s="25">
        <v>393260706</v>
      </c>
      <c r="F38" s="25">
        <v>138</v>
      </c>
      <c r="G38" s="25">
        <v>735622069</v>
      </c>
      <c r="H38" s="25">
        <v>702522475</v>
      </c>
      <c r="I38" s="25">
        <v>92905927</v>
      </c>
      <c r="J38" s="39">
        <v>0.12996666666666667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>
        <v>0</v>
      </c>
      <c r="C40" s="24">
        <v>0</v>
      </c>
      <c r="D40" s="24">
        <v>5</v>
      </c>
      <c r="E40" s="24">
        <v>2837461</v>
      </c>
      <c r="F40" s="24">
        <v>8</v>
      </c>
      <c r="G40" s="24">
        <v>5670536</v>
      </c>
      <c r="H40" s="24">
        <v>6857812</v>
      </c>
      <c r="I40" s="24">
        <v>822825</v>
      </c>
      <c r="J40" s="38">
        <v>0.12</v>
      </c>
    </row>
    <row r="41" spans="1:10" x14ac:dyDescent="0.2">
      <c r="A41" s="35" t="s">
        <v>53</v>
      </c>
      <c r="B41" s="24">
        <v>2</v>
      </c>
      <c r="C41" s="24">
        <v>2100000</v>
      </c>
      <c r="D41" s="24">
        <v>7</v>
      </c>
      <c r="E41" s="24">
        <v>7135155</v>
      </c>
      <c r="F41" s="24">
        <v>18</v>
      </c>
      <c r="G41" s="24">
        <v>15741281</v>
      </c>
      <c r="H41" s="24">
        <v>17937260</v>
      </c>
      <c r="I41" s="24">
        <v>1918689</v>
      </c>
      <c r="J41" s="38">
        <v>0.107</v>
      </c>
    </row>
    <row r="42" spans="1:10" x14ac:dyDescent="0.2">
      <c r="A42" s="35" t="s">
        <v>54</v>
      </c>
      <c r="B42" s="24">
        <v>52</v>
      </c>
      <c r="C42" s="24">
        <v>18585859</v>
      </c>
      <c r="D42" s="24">
        <v>28</v>
      </c>
      <c r="E42" s="24">
        <v>12335869</v>
      </c>
      <c r="F42" s="24">
        <v>73</v>
      </c>
      <c r="G42" s="24">
        <v>22909638</v>
      </c>
      <c r="H42" s="24">
        <v>19024696</v>
      </c>
      <c r="I42" s="24">
        <v>1597095</v>
      </c>
      <c r="J42" s="38">
        <v>8.3900000000000002E-2</v>
      </c>
    </row>
    <row r="43" spans="1:10" x14ac:dyDescent="0.2">
      <c r="A43" s="35" t="s">
        <v>55</v>
      </c>
      <c r="B43" s="24">
        <v>16</v>
      </c>
      <c r="C43" s="24">
        <v>14270000</v>
      </c>
      <c r="D43" s="24">
        <v>17</v>
      </c>
      <c r="E43" s="24">
        <v>9307132</v>
      </c>
      <c r="F43" s="24">
        <v>11</v>
      </c>
      <c r="G43" s="24">
        <v>6340043</v>
      </c>
      <c r="H43" s="24">
        <v>5935875</v>
      </c>
      <c r="I43" s="24">
        <v>230122</v>
      </c>
      <c r="J43" s="38">
        <v>3.8800000000000001E-2</v>
      </c>
    </row>
    <row r="44" spans="1:10" x14ac:dyDescent="0.2">
      <c r="A44" s="35" t="s">
        <v>56</v>
      </c>
      <c r="B44" s="24">
        <v>35</v>
      </c>
      <c r="C44" s="24">
        <v>40900000</v>
      </c>
      <c r="D44" s="24">
        <v>19</v>
      </c>
      <c r="E44" s="24">
        <v>23181962</v>
      </c>
      <c r="F44" s="24">
        <v>76</v>
      </c>
      <c r="G44" s="24">
        <v>68203724</v>
      </c>
      <c r="H44" s="24">
        <v>62882545</v>
      </c>
      <c r="I44" s="24">
        <v>6223389</v>
      </c>
      <c r="J44" s="38">
        <v>9.9000000000000005E-2</v>
      </c>
    </row>
    <row r="45" spans="1:10" x14ac:dyDescent="0.2">
      <c r="A45" s="35" t="s">
        <v>57</v>
      </c>
      <c r="B45" s="24">
        <v>67</v>
      </c>
      <c r="C45" s="24">
        <v>53560200</v>
      </c>
      <c r="D45" s="24">
        <v>55</v>
      </c>
      <c r="E45" s="24">
        <v>43452884</v>
      </c>
      <c r="F45" s="24">
        <v>133</v>
      </c>
      <c r="G45" s="24">
        <v>112650930</v>
      </c>
      <c r="H45" s="24">
        <v>104290383</v>
      </c>
      <c r="I45" s="24">
        <v>10053711</v>
      </c>
      <c r="J45" s="38">
        <v>9.64E-2</v>
      </c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172</v>
      </c>
      <c r="C47" s="25">
        <v>129416059</v>
      </c>
      <c r="D47" s="25">
        <v>131</v>
      </c>
      <c r="E47" s="25">
        <v>98250463</v>
      </c>
      <c r="F47" s="25">
        <v>319</v>
      </c>
      <c r="G47" s="25">
        <v>231516152</v>
      </c>
      <c r="H47" s="25">
        <v>216928571</v>
      </c>
      <c r="I47" s="25">
        <v>20845831</v>
      </c>
      <c r="J47" s="39">
        <v>9.085E-2</v>
      </c>
    </row>
    <row r="48" spans="1:10" x14ac:dyDescent="0.2">
      <c r="A48" s="35" t="s">
        <v>58</v>
      </c>
      <c r="B48" s="24">
        <v>12</v>
      </c>
      <c r="C48" s="24">
        <v>23270000</v>
      </c>
      <c r="D48" s="24">
        <v>21</v>
      </c>
      <c r="E48" s="24">
        <v>28831382</v>
      </c>
      <c r="F48" s="24">
        <v>57</v>
      </c>
      <c r="G48" s="24">
        <v>85963942</v>
      </c>
      <c r="H48" s="24">
        <v>85813675</v>
      </c>
      <c r="I48" s="24">
        <v>5828321</v>
      </c>
      <c r="J48" s="38">
        <v>6.7900000000000002E-2</v>
      </c>
    </row>
    <row r="49" spans="1:10" ht="24" x14ac:dyDescent="0.2">
      <c r="A49" s="35" t="s">
        <v>59</v>
      </c>
      <c r="B49" s="24">
        <v>1</v>
      </c>
      <c r="C49" s="24">
        <v>300000</v>
      </c>
      <c r="D49" s="24">
        <v>1</v>
      </c>
      <c r="E49" s="24">
        <v>2790905</v>
      </c>
      <c r="F49" s="24">
        <v>4</v>
      </c>
      <c r="G49" s="24">
        <v>5540929</v>
      </c>
      <c r="H49" s="24">
        <v>8351685</v>
      </c>
      <c r="I49" s="24">
        <v>519035</v>
      </c>
      <c r="J49" s="38">
        <v>6.2100000000000002E-2</v>
      </c>
    </row>
    <row r="50" spans="1:10" ht="24" x14ac:dyDescent="0.2">
      <c r="A50" s="35" t="s">
        <v>88</v>
      </c>
      <c r="B50" s="24">
        <v>0</v>
      </c>
      <c r="C50" s="24">
        <v>0</v>
      </c>
      <c r="D50" s="24">
        <v>2</v>
      </c>
      <c r="E50" s="24">
        <v>28520</v>
      </c>
      <c r="F50" s="24">
        <v>0</v>
      </c>
      <c r="G50" s="24">
        <v>0</v>
      </c>
      <c r="H50" s="24">
        <v>4675</v>
      </c>
      <c r="I50" s="24">
        <v>0</v>
      </c>
      <c r="J50" s="38">
        <v>0</v>
      </c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13</v>
      </c>
      <c r="C52" s="25">
        <v>23570000</v>
      </c>
      <c r="D52" s="25">
        <v>24</v>
      </c>
      <c r="E52" s="25">
        <v>31650807</v>
      </c>
      <c r="F52" s="25">
        <v>61</v>
      </c>
      <c r="G52" s="25">
        <v>91504871</v>
      </c>
      <c r="H52" s="25">
        <v>94170035</v>
      </c>
      <c r="I52" s="25">
        <v>6347356</v>
      </c>
      <c r="J52" s="39">
        <v>4.3333333333333335E-2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1414</v>
      </c>
      <c r="C63" s="40">
        <v>2587056542</v>
      </c>
      <c r="D63" s="40">
        <v>991</v>
      </c>
      <c r="E63" s="40">
        <v>1754390246</v>
      </c>
      <c r="F63" s="40">
        <v>3124</v>
      </c>
      <c r="G63" s="40">
        <v>5415534204</v>
      </c>
      <c r="H63" s="40">
        <v>4990643820</v>
      </c>
      <c r="I63" s="40">
        <v>499996248</v>
      </c>
      <c r="J63" s="41">
        <v>0.10018672260205498</v>
      </c>
    </row>
  </sheetData>
  <phoneticPr fontId="2"/>
  <pageMargins left="0.7" right="0.7" top="0.75" bottom="0.75" header="0.3" footer="0.3"/>
  <pageSetup paperSize="9" scale="85"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AB1D0-12E8-426A-A6A4-EA31FE88F1B1}">
  <sheetPr>
    <pageSetUpPr fitToPage="1"/>
  </sheetPr>
  <dimension ref="A1:J63"/>
  <sheetViews>
    <sheetView workbookViewId="0">
      <selection activeCell="C4" sqref="C4"/>
    </sheetView>
  </sheetViews>
  <sheetFormatPr defaultRowHeight="13" x14ac:dyDescent="0.2"/>
  <cols>
    <col min="1" max="1" width="15.81640625" style="33" customWidth="1"/>
    <col min="2" max="2" width="6.1796875" style="7" customWidth="1"/>
    <col min="3" max="3" width="13.1796875" style="7" customWidth="1"/>
    <col min="4" max="4" width="5.36328125" style="7" customWidth="1"/>
    <col min="5" max="5" width="12.81640625" style="7" customWidth="1"/>
    <col min="6" max="6" width="5.1796875" style="7" customWidth="1"/>
    <col min="7" max="7" width="12.6328125" style="7" customWidth="1"/>
    <col min="8" max="8" width="13" style="7" customWidth="1"/>
    <col min="9" max="9" width="12.08984375" style="7" bestFit="1" customWidth="1"/>
    <col min="10" max="10" width="7.36328125" style="8" customWidth="1"/>
  </cols>
  <sheetData>
    <row r="1" spans="1:10" x14ac:dyDescent="0.2">
      <c r="A1" s="33" t="s">
        <v>0</v>
      </c>
      <c r="B1" s="6" t="s">
        <v>166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>
        <v>0</v>
      </c>
      <c r="C6" s="24">
        <v>0</v>
      </c>
      <c r="D6" s="24">
        <v>4</v>
      </c>
      <c r="E6" s="24">
        <v>1992918</v>
      </c>
      <c r="F6" s="24">
        <v>6</v>
      </c>
      <c r="G6" s="24">
        <v>2853032</v>
      </c>
      <c r="H6" s="24">
        <v>3806986</v>
      </c>
      <c r="I6" s="24">
        <v>474261</v>
      </c>
      <c r="J6" s="38">
        <v>0.1246</v>
      </c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>
        <v>593</v>
      </c>
      <c r="C8" s="24">
        <v>1564960000</v>
      </c>
      <c r="D8" s="24">
        <v>258</v>
      </c>
      <c r="E8" s="24">
        <v>853129494</v>
      </c>
      <c r="F8" s="24">
        <v>1699</v>
      </c>
      <c r="G8" s="24">
        <v>3154677376</v>
      </c>
      <c r="H8" s="24">
        <v>2804605957</v>
      </c>
      <c r="I8" s="24">
        <v>258752842</v>
      </c>
      <c r="J8" s="38">
        <v>9.2299999999999993E-2</v>
      </c>
    </row>
    <row r="9" spans="1:10" x14ac:dyDescent="0.2">
      <c r="A9" s="35" t="s">
        <v>35</v>
      </c>
      <c r="B9" s="24">
        <v>0</v>
      </c>
      <c r="C9" s="24">
        <v>0</v>
      </c>
      <c r="D9" s="24">
        <v>1</v>
      </c>
      <c r="E9" s="24">
        <v>83664</v>
      </c>
      <c r="F9" s="24">
        <v>0</v>
      </c>
      <c r="G9" s="24">
        <v>0</v>
      </c>
      <c r="H9" s="24">
        <v>26825</v>
      </c>
      <c r="I9" s="24">
        <v>1560</v>
      </c>
      <c r="J9" s="38">
        <v>5.8200000000000002E-2</v>
      </c>
    </row>
    <row r="10" spans="1:10" x14ac:dyDescent="0.2">
      <c r="A10" s="35" t="s">
        <v>36</v>
      </c>
      <c r="B10" s="24">
        <v>13</v>
      </c>
      <c r="C10" s="24">
        <v>32150000</v>
      </c>
      <c r="D10" s="24">
        <v>17</v>
      </c>
      <c r="E10" s="24">
        <v>44883968</v>
      </c>
      <c r="F10" s="24">
        <v>89</v>
      </c>
      <c r="G10" s="24">
        <v>133013551</v>
      </c>
      <c r="H10" s="24">
        <v>139164686</v>
      </c>
      <c r="I10" s="24">
        <v>15806006</v>
      </c>
      <c r="J10" s="38">
        <v>0.11360000000000001</v>
      </c>
    </row>
    <row r="11" spans="1:10" x14ac:dyDescent="0.2">
      <c r="A11" s="35" t="s">
        <v>37</v>
      </c>
      <c r="B11" s="24">
        <v>116</v>
      </c>
      <c r="C11" s="24">
        <v>362590000</v>
      </c>
      <c r="D11" s="24">
        <v>94</v>
      </c>
      <c r="E11" s="24">
        <v>396228283</v>
      </c>
      <c r="F11" s="24">
        <v>707</v>
      </c>
      <c r="G11" s="24">
        <v>1430742753</v>
      </c>
      <c r="H11" s="24">
        <v>1435344665</v>
      </c>
      <c r="I11" s="24">
        <v>136682393</v>
      </c>
      <c r="J11" s="38">
        <v>9.5200000000000007E-2</v>
      </c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>
        <v>60</v>
      </c>
      <c r="C14" s="24">
        <v>58525000</v>
      </c>
      <c r="D14" s="24">
        <v>81</v>
      </c>
      <c r="E14" s="24">
        <v>85000580</v>
      </c>
      <c r="F14" s="24">
        <v>215</v>
      </c>
      <c r="G14" s="24">
        <v>165289474</v>
      </c>
      <c r="H14" s="24">
        <v>179507152</v>
      </c>
      <c r="I14" s="24">
        <v>19315374</v>
      </c>
      <c r="J14" s="38">
        <v>0.1076</v>
      </c>
    </row>
    <row r="15" spans="1:10" x14ac:dyDescent="0.2">
      <c r="A15" s="35" t="s">
        <v>41</v>
      </c>
      <c r="B15" s="24">
        <v>17</v>
      </c>
      <c r="C15" s="24">
        <v>10860000</v>
      </c>
      <c r="D15" s="24">
        <v>14</v>
      </c>
      <c r="E15" s="24">
        <v>15227291</v>
      </c>
      <c r="F15" s="24">
        <v>49</v>
      </c>
      <c r="G15" s="24">
        <v>31187479</v>
      </c>
      <c r="H15" s="24">
        <v>31684513</v>
      </c>
      <c r="I15" s="24">
        <v>3360540</v>
      </c>
      <c r="J15" s="38">
        <v>0.1061</v>
      </c>
    </row>
    <row r="16" spans="1:10" x14ac:dyDescent="0.2">
      <c r="A16" s="35" t="s">
        <v>42</v>
      </c>
      <c r="B16" s="24">
        <v>70</v>
      </c>
      <c r="C16" s="24">
        <v>129310000</v>
      </c>
      <c r="D16" s="24">
        <v>3</v>
      </c>
      <c r="E16" s="24">
        <v>14202018</v>
      </c>
      <c r="F16" s="24">
        <v>67</v>
      </c>
      <c r="G16" s="24">
        <v>115107982</v>
      </c>
      <c r="H16" s="24">
        <v>54851997</v>
      </c>
      <c r="I16" s="24">
        <v>5013474</v>
      </c>
      <c r="J16" s="38"/>
    </row>
    <row r="17" spans="1:10" x14ac:dyDescent="0.2">
      <c r="A17" s="36" t="s">
        <v>73</v>
      </c>
      <c r="B17" s="25">
        <v>869</v>
      </c>
      <c r="C17" s="25">
        <v>2158395000</v>
      </c>
      <c r="D17" s="25">
        <v>472</v>
      </c>
      <c r="E17" s="25">
        <v>1410748216</v>
      </c>
      <c r="F17" s="25">
        <v>2832</v>
      </c>
      <c r="G17" s="25">
        <v>5032871647</v>
      </c>
      <c r="H17" s="25">
        <v>4648992781</v>
      </c>
      <c r="I17" s="25">
        <v>439406450</v>
      </c>
      <c r="J17" s="39">
        <v>9.9657142857142861E-2</v>
      </c>
    </row>
    <row r="18" spans="1:10" x14ac:dyDescent="0.2">
      <c r="A18" s="35" t="s">
        <v>90</v>
      </c>
      <c r="B18" s="24">
        <v>0</v>
      </c>
      <c r="C18" s="24">
        <v>0</v>
      </c>
      <c r="D18" s="24">
        <v>7</v>
      </c>
      <c r="E18" s="24">
        <v>979200</v>
      </c>
      <c r="F18" s="24">
        <v>1</v>
      </c>
      <c r="G18" s="24">
        <v>85600</v>
      </c>
      <c r="H18" s="24">
        <v>365098</v>
      </c>
      <c r="I18" s="24">
        <v>44922</v>
      </c>
      <c r="J18" s="38">
        <v>0.123</v>
      </c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24</v>
      </c>
      <c r="C25" s="24">
        <v>15990659</v>
      </c>
      <c r="D25" s="24">
        <v>12</v>
      </c>
      <c r="E25" s="24">
        <v>16841592</v>
      </c>
      <c r="F25" s="24">
        <v>49</v>
      </c>
      <c r="G25" s="24">
        <v>36179567</v>
      </c>
      <c r="H25" s="24">
        <v>31428950</v>
      </c>
      <c r="I25" s="24">
        <v>2382762</v>
      </c>
      <c r="J25" s="38">
        <v>7.5800000000000006E-2</v>
      </c>
    </row>
    <row r="26" spans="1:10" x14ac:dyDescent="0.2">
      <c r="A26" s="35" t="s">
        <v>111</v>
      </c>
      <c r="B26" s="24">
        <v>0</v>
      </c>
      <c r="C26" s="24">
        <v>0</v>
      </c>
      <c r="D26" s="24">
        <v>3</v>
      </c>
      <c r="E26" s="24">
        <v>403800</v>
      </c>
      <c r="F26" s="24">
        <v>1</v>
      </c>
      <c r="G26" s="24">
        <v>29400</v>
      </c>
      <c r="H26" s="24">
        <v>142051</v>
      </c>
      <c r="I26" s="24">
        <v>20959</v>
      </c>
      <c r="J26" s="38">
        <v>0.14749999999999999</v>
      </c>
    </row>
    <row r="27" spans="1:10" ht="24" x14ac:dyDescent="0.2">
      <c r="A27" s="35" t="s">
        <v>91</v>
      </c>
      <c r="B27" s="24">
        <v>47</v>
      </c>
      <c r="C27" s="24">
        <v>21467000</v>
      </c>
      <c r="D27" s="24">
        <v>58</v>
      </c>
      <c r="E27" s="24">
        <v>21478329</v>
      </c>
      <c r="F27" s="24">
        <v>96</v>
      </c>
      <c r="G27" s="24">
        <v>32227470</v>
      </c>
      <c r="H27" s="24">
        <v>28631372</v>
      </c>
      <c r="I27" s="24">
        <v>2887126</v>
      </c>
      <c r="J27" s="38">
        <v>0.1008</v>
      </c>
    </row>
    <row r="28" spans="1:10" x14ac:dyDescent="0.2">
      <c r="A28" s="35" t="s">
        <v>110</v>
      </c>
      <c r="B28" s="24">
        <v>0</v>
      </c>
      <c r="C28" s="24">
        <v>0</v>
      </c>
      <c r="D28" s="24">
        <v>1</v>
      </c>
      <c r="E28" s="24">
        <v>390000</v>
      </c>
      <c r="F28" s="24">
        <v>2</v>
      </c>
      <c r="G28" s="24">
        <v>267000</v>
      </c>
      <c r="H28" s="24">
        <v>389041</v>
      </c>
      <c r="I28" s="24">
        <v>56691</v>
      </c>
      <c r="J28" s="38">
        <v>0.1457</v>
      </c>
    </row>
    <row r="29" spans="1:10" x14ac:dyDescent="0.2">
      <c r="A29" s="35" t="s">
        <v>112</v>
      </c>
      <c r="B29" s="24"/>
      <c r="C29" s="24"/>
      <c r="D29" s="24">
        <v>7</v>
      </c>
      <c r="E29" s="24">
        <v>181000</v>
      </c>
      <c r="F29" s="24">
        <v>1</v>
      </c>
      <c r="G29" s="24">
        <v>6000</v>
      </c>
      <c r="H29" s="24">
        <v>80569</v>
      </c>
      <c r="I29" s="24"/>
      <c r="J29" s="38"/>
    </row>
    <row r="30" spans="1:10" x14ac:dyDescent="0.2">
      <c r="A30" s="35" t="s">
        <v>113</v>
      </c>
      <c r="B30" s="24"/>
      <c r="C30" s="24"/>
      <c r="D30" s="24">
        <v>4</v>
      </c>
      <c r="E30" s="24">
        <v>54950</v>
      </c>
      <c r="F30" s="24">
        <v>0</v>
      </c>
      <c r="G30" s="24">
        <v>0</v>
      </c>
      <c r="H30" s="24">
        <v>14861</v>
      </c>
      <c r="I30" s="24"/>
      <c r="J30" s="38"/>
    </row>
    <row r="31" spans="1:10" x14ac:dyDescent="0.2">
      <c r="A31" s="36" t="s">
        <v>73</v>
      </c>
      <c r="B31" s="25">
        <v>71</v>
      </c>
      <c r="C31" s="25">
        <v>37457659</v>
      </c>
      <c r="D31" s="25">
        <v>92</v>
      </c>
      <c r="E31" s="25">
        <v>40328871</v>
      </c>
      <c r="F31" s="25">
        <v>150</v>
      </c>
      <c r="G31" s="25">
        <v>68795037</v>
      </c>
      <c r="H31" s="25">
        <v>61051942</v>
      </c>
      <c r="I31" s="25">
        <v>5392460</v>
      </c>
      <c r="J31" s="39">
        <v>0.11856</v>
      </c>
    </row>
    <row r="32" spans="1:10" x14ac:dyDescent="0.2">
      <c r="A32" s="35" t="s">
        <v>50</v>
      </c>
      <c r="B32" s="24">
        <v>9</v>
      </c>
      <c r="C32" s="24">
        <v>54500000</v>
      </c>
      <c r="D32" s="24">
        <v>9</v>
      </c>
      <c r="E32" s="24">
        <v>39407151</v>
      </c>
      <c r="F32" s="24">
        <v>20</v>
      </c>
      <c r="G32" s="24">
        <v>91982778</v>
      </c>
      <c r="H32" s="24">
        <v>82774746</v>
      </c>
      <c r="I32" s="24">
        <v>9903760</v>
      </c>
      <c r="J32" s="38">
        <v>0.1196</v>
      </c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>
        <v>48</v>
      </c>
      <c r="C34" s="24">
        <v>382600000</v>
      </c>
      <c r="D34" s="24">
        <v>53</v>
      </c>
      <c r="E34" s="24">
        <v>441141882</v>
      </c>
      <c r="F34" s="24">
        <v>80</v>
      </c>
      <c r="G34" s="24">
        <v>400384042</v>
      </c>
      <c r="H34" s="24">
        <v>431707752</v>
      </c>
      <c r="I34" s="24">
        <v>58595695</v>
      </c>
      <c r="J34" s="38">
        <v>0.13569999999999999</v>
      </c>
    </row>
    <row r="35" spans="1:10" x14ac:dyDescent="0.2">
      <c r="A35" s="35" t="s">
        <v>52</v>
      </c>
      <c r="B35" s="24">
        <v>2</v>
      </c>
      <c r="C35" s="24">
        <v>11900000</v>
      </c>
      <c r="D35" s="24">
        <v>6</v>
      </c>
      <c r="E35" s="24">
        <v>38788969</v>
      </c>
      <c r="F35" s="24">
        <v>29</v>
      </c>
      <c r="G35" s="24">
        <v>172917247</v>
      </c>
      <c r="H35" s="24">
        <v>185156036</v>
      </c>
      <c r="I35" s="24">
        <v>24183578</v>
      </c>
      <c r="J35" s="38">
        <v>0.13059999999999999</v>
      </c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59</v>
      </c>
      <c r="C38" s="25">
        <v>449000000</v>
      </c>
      <c r="D38" s="25">
        <v>68</v>
      </c>
      <c r="E38" s="25">
        <v>519338002</v>
      </c>
      <c r="F38" s="25">
        <v>129</v>
      </c>
      <c r="G38" s="25">
        <v>665284067</v>
      </c>
      <c r="H38" s="25">
        <v>699638534</v>
      </c>
      <c r="I38" s="25">
        <v>92683033</v>
      </c>
      <c r="J38" s="39">
        <v>0.12863333333333332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>
        <v>0</v>
      </c>
      <c r="C40" s="24">
        <v>0</v>
      </c>
      <c r="D40" s="24">
        <v>1</v>
      </c>
      <c r="E40" s="24">
        <v>2228014</v>
      </c>
      <c r="F40" s="24">
        <v>7</v>
      </c>
      <c r="G40" s="24">
        <v>3442522</v>
      </c>
      <c r="H40" s="24">
        <v>4583343</v>
      </c>
      <c r="I40" s="24">
        <v>543300</v>
      </c>
      <c r="J40" s="38">
        <v>0.11849999999999999</v>
      </c>
    </row>
    <row r="41" spans="1:10" x14ac:dyDescent="0.2">
      <c r="A41" s="35" t="s">
        <v>53</v>
      </c>
      <c r="B41" s="24"/>
      <c r="C41" s="24"/>
      <c r="D41" s="24">
        <v>8</v>
      </c>
      <c r="E41" s="24">
        <v>6181627</v>
      </c>
      <c r="F41" s="24">
        <v>10</v>
      </c>
      <c r="G41" s="24">
        <v>8922654</v>
      </c>
      <c r="H41" s="24">
        <v>12935794</v>
      </c>
      <c r="I41" s="24">
        <v>1358670</v>
      </c>
      <c r="J41" s="38">
        <v>0.105</v>
      </c>
    </row>
    <row r="42" spans="1:10" x14ac:dyDescent="0.2">
      <c r="A42" s="35" t="s">
        <v>54</v>
      </c>
      <c r="B42" s="24">
        <v>32</v>
      </c>
      <c r="C42" s="24">
        <v>10755000</v>
      </c>
      <c r="D42" s="24">
        <v>30</v>
      </c>
      <c r="E42" s="24">
        <v>12329755</v>
      </c>
      <c r="F42" s="24">
        <v>75</v>
      </c>
      <c r="G42" s="24">
        <v>21334883</v>
      </c>
      <c r="H42" s="24">
        <v>22038825</v>
      </c>
      <c r="I42" s="24">
        <v>1884397</v>
      </c>
      <c r="J42" s="38">
        <v>8.5500000000000007E-2</v>
      </c>
    </row>
    <row r="43" spans="1:10" x14ac:dyDescent="0.2">
      <c r="A43" s="35" t="s">
        <v>55</v>
      </c>
      <c r="B43" s="24">
        <v>25</v>
      </c>
      <c r="C43" s="24">
        <v>20882000</v>
      </c>
      <c r="D43" s="24">
        <v>22</v>
      </c>
      <c r="E43" s="24">
        <v>22262319</v>
      </c>
      <c r="F43" s="24">
        <v>14</v>
      </c>
      <c r="G43" s="24">
        <v>4959724</v>
      </c>
      <c r="H43" s="24">
        <v>4500031</v>
      </c>
      <c r="I43" s="24">
        <v>293438</v>
      </c>
      <c r="J43" s="38">
        <v>6.5199999999999994E-2</v>
      </c>
    </row>
    <row r="44" spans="1:10" x14ac:dyDescent="0.2">
      <c r="A44" s="35" t="s">
        <v>56</v>
      </c>
      <c r="B44" s="24">
        <v>43</v>
      </c>
      <c r="C44" s="24">
        <v>51340000</v>
      </c>
      <c r="D44" s="24">
        <v>29</v>
      </c>
      <c r="E44" s="24">
        <v>35208160</v>
      </c>
      <c r="F44" s="24">
        <v>90</v>
      </c>
      <c r="G44" s="24">
        <v>84335564</v>
      </c>
      <c r="H44" s="24">
        <v>75042287</v>
      </c>
      <c r="I44" s="24">
        <v>7006434</v>
      </c>
      <c r="J44" s="38">
        <v>9.3399999999999997E-2</v>
      </c>
    </row>
    <row r="45" spans="1:10" x14ac:dyDescent="0.2">
      <c r="A45" s="35" t="s">
        <v>57</v>
      </c>
      <c r="B45" s="24">
        <v>56</v>
      </c>
      <c r="C45" s="24">
        <v>38590000</v>
      </c>
      <c r="D45" s="24">
        <v>70</v>
      </c>
      <c r="E45" s="24">
        <v>60849160</v>
      </c>
      <c r="F45" s="24">
        <v>119</v>
      </c>
      <c r="G45" s="24">
        <v>90391770</v>
      </c>
      <c r="H45" s="24">
        <v>98624610</v>
      </c>
      <c r="I45" s="24">
        <v>9547811</v>
      </c>
      <c r="J45" s="38">
        <v>9.6799999999999997E-2</v>
      </c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156</v>
      </c>
      <c r="C47" s="25">
        <v>121567000</v>
      </c>
      <c r="D47" s="25">
        <v>160</v>
      </c>
      <c r="E47" s="25">
        <v>139059035</v>
      </c>
      <c r="F47" s="25">
        <v>315</v>
      </c>
      <c r="G47" s="25">
        <v>213387117</v>
      </c>
      <c r="H47" s="25">
        <v>217724890</v>
      </c>
      <c r="I47" s="25">
        <v>20634050</v>
      </c>
      <c r="J47" s="39">
        <v>9.4066666666666673E-2</v>
      </c>
    </row>
    <row r="48" spans="1:10" x14ac:dyDescent="0.2">
      <c r="A48" s="35" t="s">
        <v>58</v>
      </c>
      <c r="B48" s="24">
        <v>11</v>
      </c>
      <c r="C48" s="24">
        <v>14700000</v>
      </c>
      <c r="D48" s="24">
        <v>19</v>
      </c>
      <c r="E48" s="24">
        <v>27245779</v>
      </c>
      <c r="F48" s="24">
        <v>49</v>
      </c>
      <c r="G48" s="24">
        <v>73418163</v>
      </c>
      <c r="H48" s="24">
        <v>79061529</v>
      </c>
      <c r="I48" s="24">
        <v>5389839</v>
      </c>
      <c r="J48" s="38">
        <v>6.8199999999999997E-2</v>
      </c>
    </row>
    <row r="49" spans="1:10" ht="24" x14ac:dyDescent="0.2">
      <c r="A49" s="35" t="s">
        <v>59</v>
      </c>
      <c r="B49" s="24"/>
      <c r="C49" s="24"/>
      <c r="D49" s="24">
        <v>2</v>
      </c>
      <c r="E49" s="24">
        <v>800859</v>
      </c>
      <c r="F49" s="24">
        <v>2</v>
      </c>
      <c r="G49" s="24">
        <v>4740070</v>
      </c>
      <c r="H49" s="24">
        <v>5353324</v>
      </c>
      <c r="I49" s="24">
        <v>273054</v>
      </c>
      <c r="J49" s="38">
        <v>5.0999999999999997E-2</v>
      </c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11</v>
      </c>
      <c r="C52" s="25">
        <v>14700000</v>
      </c>
      <c r="D52" s="25">
        <v>21</v>
      </c>
      <c r="E52" s="25">
        <v>28046638</v>
      </c>
      <c r="F52" s="25">
        <v>51</v>
      </c>
      <c r="G52" s="25">
        <v>78158233</v>
      </c>
      <c r="H52" s="25">
        <v>84414853</v>
      </c>
      <c r="I52" s="25">
        <v>5662893</v>
      </c>
      <c r="J52" s="39">
        <v>5.96E-2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1166</v>
      </c>
      <c r="C63" s="40">
        <v>2781119659</v>
      </c>
      <c r="D63" s="40">
        <v>813</v>
      </c>
      <c r="E63" s="40">
        <v>2137520762</v>
      </c>
      <c r="F63" s="40">
        <v>3477</v>
      </c>
      <c r="G63" s="40">
        <v>6058496101</v>
      </c>
      <c r="H63" s="40">
        <v>5711823000</v>
      </c>
      <c r="I63" s="40">
        <v>563778886</v>
      </c>
      <c r="J63" s="41">
        <v>9.8703843939141667E-2</v>
      </c>
    </row>
  </sheetData>
  <phoneticPr fontId="2"/>
  <pageMargins left="0.7" right="0.7" top="0.75" bottom="0.75" header="0.3" footer="0.3"/>
  <pageSetup paperSize="9" scale="85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86610-6B4B-4EFD-A901-2467A36DC896}">
  <sheetPr>
    <pageSetUpPr fitToPage="1"/>
  </sheetPr>
  <dimension ref="A1:J63"/>
  <sheetViews>
    <sheetView workbookViewId="0">
      <selection activeCell="C5" sqref="C5"/>
    </sheetView>
  </sheetViews>
  <sheetFormatPr defaultRowHeight="13" x14ac:dyDescent="0.2"/>
  <cols>
    <col min="1" max="1" width="15.81640625" style="33" customWidth="1"/>
    <col min="2" max="2" width="5.6328125" style="7" customWidth="1"/>
    <col min="3" max="3" width="13.54296875" style="7" customWidth="1"/>
    <col min="4" max="4" width="5.90625" style="7" customWidth="1"/>
    <col min="5" max="5" width="13.6328125" style="7" bestFit="1" customWidth="1"/>
    <col min="6" max="6" width="8.90625" style="7" customWidth="1"/>
    <col min="7" max="8" width="13.6328125" style="7" bestFit="1" customWidth="1"/>
    <col min="9" max="9" width="10.453125" style="7" customWidth="1"/>
    <col min="10" max="10" width="6" style="8" customWidth="1"/>
  </cols>
  <sheetData>
    <row r="1" spans="1:10" x14ac:dyDescent="0.2">
      <c r="A1" s="33" t="s">
        <v>0</v>
      </c>
      <c r="B1" s="6" t="s">
        <v>167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>
        <v>0</v>
      </c>
      <c r="C6" s="24">
        <v>0</v>
      </c>
      <c r="D6" s="24">
        <v>1</v>
      </c>
      <c r="E6" s="24">
        <v>1124296</v>
      </c>
      <c r="F6" s="24">
        <v>5</v>
      </c>
      <c r="G6" s="24">
        <v>1728736</v>
      </c>
      <c r="H6" s="24">
        <v>2273223</v>
      </c>
      <c r="I6" s="24">
        <v>295488</v>
      </c>
      <c r="J6" s="38">
        <v>0.13</v>
      </c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>
        <v>642</v>
      </c>
      <c r="C8" s="24">
        <v>1611991012</v>
      </c>
      <c r="D8" s="24">
        <v>324</v>
      </c>
      <c r="E8" s="24">
        <v>1064922259</v>
      </c>
      <c r="F8" s="24">
        <v>2017</v>
      </c>
      <c r="G8" s="24">
        <v>3701746129</v>
      </c>
      <c r="H8" s="24">
        <v>3426855560</v>
      </c>
      <c r="I8" s="24">
        <v>314817661</v>
      </c>
      <c r="J8" s="38">
        <v>9.1899999999999996E-2</v>
      </c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>
        <v>9</v>
      </c>
      <c r="C10" s="24">
        <v>25200000</v>
      </c>
      <c r="D10" s="24">
        <v>24</v>
      </c>
      <c r="E10" s="24">
        <v>47036601</v>
      </c>
      <c r="F10" s="24">
        <v>74</v>
      </c>
      <c r="G10" s="24">
        <v>111176950</v>
      </c>
      <c r="H10" s="24">
        <v>118185275</v>
      </c>
      <c r="I10" s="24">
        <v>13642262</v>
      </c>
      <c r="J10" s="38">
        <v>0.1154</v>
      </c>
    </row>
    <row r="11" spans="1:10" x14ac:dyDescent="0.2">
      <c r="A11" s="35" t="s">
        <v>37</v>
      </c>
      <c r="B11" s="24">
        <v>194</v>
      </c>
      <c r="C11" s="24">
        <v>586800000</v>
      </c>
      <c r="D11" s="24">
        <v>131</v>
      </c>
      <c r="E11" s="24">
        <v>452085320</v>
      </c>
      <c r="F11" s="24">
        <v>770</v>
      </c>
      <c r="G11" s="24">
        <v>1565457433</v>
      </c>
      <c r="H11" s="24">
        <v>1503196265</v>
      </c>
      <c r="I11" s="24">
        <v>139599246</v>
      </c>
      <c r="J11" s="38">
        <v>9.2899999999999996E-2</v>
      </c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>
        <v>45</v>
      </c>
      <c r="C14" s="24">
        <v>51285000</v>
      </c>
      <c r="D14" s="24">
        <v>73</v>
      </c>
      <c r="E14" s="24">
        <v>74886461</v>
      </c>
      <c r="F14" s="24">
        <v>187</v>
      </c>
      <c r="G14" s="24">
        <v>141688013</v>
      </c>
      <c r="H14" s="24">
        <v>155496949</v>
      </c>
      <c r="I14" s="24">
        <v>16534746</v>
      </c>
      <c r="J14" s="38">
        <v>0.10630000000000001</v>
      </c>
    </row>
    <row r="15" spans="1:10" x14ac:dyDescent="0.2">
      <c r="A15" s="35" t="s">
        <v>41</v>
      </c>
      <c r="B15" s="24">
        <v>10</v>
      </c>
      <c r="C15" s="24">
        <v>8150000</v>
      </c>
      <c r="D15" s="24">
        <v>19</v>
      </c>
      <c r="E15" s="24">
        <v>14847668</v>
      </c>
      <c r="F15" s="24">
        <v>40</v>
      </c>
      <c r="G15" s="24">
        <v>24489811</v>
      </c>
      <c r="H15" s="24">
        <v>27042919</v>
      </c>
      <c r="I15" s="24">
        <v>2827887</v>
      </c>
      <c r="J15" s="38">
        <v>0.1046</v>
      </c>
    </row>
    <row r="16" spans="1:10" x14ac:dyDescent="0.2">
      <c r="A16" s="35" t="s">
        <v>42</v>
      </c>
      <c r="B16" s="24">
        <v>92</v>
      </c>
      <c r="C16" s="24">
        <v>185320000</v>
      </c>
      <c r="D16" s="24">
        <v>11</v>
      </c>
      <c r="E16" s="24">
        <v>59607662</v>
      </c>
      <c r="F16" s="24">
        <v>148</v>
      </c>
      <c r="G16" s="24">
        <v>240820320</v>
      </c>
      <c r="H16" s="24">
        <v>195723353</v>
      </c>
      <c r="I16" s="24">
        <v>19520514</v>
      </c>
      <c r="J16" s="38">
        <v>9.9699999999999997E-2</v>
      </c>
    </row>
    <row r="17" spans="1:10" x14ac:dyDescent="0.2">
      <c r="A17" s="36" t="s">
        <v>73</v>
      </c>
      <c r="B17" s="25">
        <v>992</v>
      </c>
      <c r="C17" s="25">
        <v>2468746012</v>
      </c>
      <c r="D17" s="25">
        <v>583</v>
      </c>
      <c r="E17" s="25">
        <v>1714510267</v>
      </c>
      <c r="F17" s="25">
        <v>3241</v>
      </c>
      <c r="G17" s="25">
        <v>5787107392</v>
      </c>
      <c r="H17" s="25">
        <v>5428773544</v>
      </c>
      <c r="I17" s="25">
        <v>507237804</v>
      </c>
      <c r="J17" s="39">
        <v>0.10582857142857142</v>
      </c>
    </row>
    <row r="18" spans="1:10" x14ac:dyDescent="0.2">
      <c r="A18" s="35" t="s">
        <v>90</v>
      </c>
      <c r="B18" s="24">
        <v>0</v>
      </c>
      <c r="C18" s="24">
        <v>0</v>
      </c>
      <c r="D18" s="24">
        <v>1</v>
      </c>
      <c r="E18" s="24">
        <v>85600</v>
      </c>
      <c r="F18" s="24">
        <v>0</v>
      </c>
      <c r="G18" s="24">
        <v>0</v>
      </c>
      <c r="H18" s="24">
        <v>36967</v>
      </c>
      <c r="I18" s="24">
        <v>5379</v>
      </c>
      <c r="J18" s="38">
        <v>0.14549999999999999</v>
      </c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18</v>
      </c>
      <c r="C25" s="24">
        <v>14654470</v>
      </c>
      <c r="D25" s="24">
        <v>22</v>
      </c>
      <c r="E25" s="24">
        <v>15222518</v>
      </c>
      <c r="F25" s="24">
        <v>45</v>
      </c>
      <c r="G25" s="24">
        <v>35611519</v>
      </c>
      <c r="H25" s="24">
        <v>35993623</v>
      </c>
      <c r="I25" s="24">
        <v>2363216</v>
      </c>
      <c r="J25" s="38">
        <v>6.5699999999999995E-2</v>
      </c>
    </row>
    <row r="26" spans="1:10" x14ac:dyDescent="0.2">
      <c r="A26" s="35" t="s">
        <v>111</v>
      </c>
      <c r="B26" s="24">
        <v>0</v>
      </c>
      <c r="C26" s="24">
        <v>0</v>
      </c>
      <c r="D26" s="24">
        <v>1</v>
      </c>
      <c r="E26" s="24">
        <v>29400</v>
      </c>
      <c r="F26" s="24">
        <v>0</v>
      </c>
      <c r="G26" s="24">
        <v>0</v>
      </c>
      <c r="H26" s="24">
        <v>4925</v>
      </c>
      <c r="I26" s="24">
        <v>470</v>
      </c>
      <c r="J26" s="38">
        <v>9.5399999999999999E-2</v>
      </c>
    </row>
    <row r="27" spans="1:10" ht="24" x14ac:dyDescent="0.2">
      <c r="A27" s="35" t="s">
        <v>91</v>
      </c>
      <c r="B27" s="24">
        <v>28</v>
      </c>
      <c r="C27" s="24">
        <v>13800000</v>
      </c>
      <c r="D27" s="24">
        <v>42</v>
      </c>
      <c r="E27" s="24">
        <v>18667107</v>
      </c>
      <c r="F27" s="24">
        <v>82</v>
      </c>
      <c r="G27" s="24">
        <v>27360363</v>
      </c>
      <c r="H27" s="24">
        <v>30317856</v>
      </c>
      <c r="I27" s="24">
        <v>2382075</v>
      </c>
      <c r="J27" s="38">
        <v>7.8600000000000003E-2</v>
      </c>
    </row>
    <row r="28" spans="1:10" x14ac:dyDescent="0.2">
      <c r="A28" s="35" t="s">
        <v>110</v>
      </c>
      <c r="B28" s="24">
        <v>0</v>
      </c>
      <c r="C28" s="24">
        <v>0</v>
      </c>
      <c r="D28" s="24">
        <v>1</v>
      </c>
      <c r="E28" s="24">
        <v>182000</v>
      </c>
      <c r="F28" s="24">
        <v>1</v>
      </c>
      <c r="G28" s="24">
        <v>85000</v>
      </c>
      <c r="H28" s="24">
        <v>155500</v>
      </c>
      <c r="I28" s="24">
        <v>19288</v>
      </c>
      <c r="J28" s="38">
        <v>0.124</v>
      </c>
    </row>
    <row r="29" spans="1:10" x14ac:dyDescent="0.2">
      <c r="A29" s="35" t="s">
        <v>112</v>
      </c>
      <c r="B29" s="24">
        <v>0</v>
      </c>
      <c r="C29" s="24">
        <v>0</v>
      </c>
      <c r="D29" s="24">
        <v>1</v>
      </c>
      <c r="E29" s="24">
        <v>6000</v>
      </c>
      <c r="F29" s="24">
        <v>0</v>
      </c>
      <c r="G29" s="24">
        <v>0</v>
      </c>
      <c r="H29" s="24">
        <v>500</v>
      </c>
      <c r="I29" s="24">
        <v>0</v>
      </c>
      <c r="J29" s="38">
        <v>0</v>
      </c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46</v>
      </c>
      <c r="C31" s="25">
        <v>28454470</v>
      </c>
      <c r="D31" s="25">
        <v>68</v>
      </c>
      <c r="E31" s="25">
        <v>34192625</v>
      </c>
      <c r="F31" s="25">
        <v>128</v>
      </c>
      <c r="G31" s="25">
        <v>63056882</v>
      </c>
      <c r="H31" s="25">
        <v>66509371</v>
      </c>
      <c r="I31" s="25">
        <v>4770428</v>
      </c>
      <c r="J31" s="39">
        <v>8.486666666666666E-2</v>
      </c>
    </row>
    <row r="32" spans="1:10" x14ac:dyDescent="0.2">
      <c r="A32" s="35" t="s">
        <v>50</v>
      </c>
      <c r="B32" s="24">
        <v>28</v>
      </c>
      <c r="C32" s="24">
        <v>208900000</v>
      </c>
      <c r="D32" s="24">
        <v>8</v>
      </c>
      <c r="E32" s="24">
        <v>59246380</v>
      </c>
      <c r="F32" s="24">
        <v>40</v>
      </c>
      <c r="G32" s="24">
        <v>241636398</v>
      </c>
      <c r="H32" s="24">
        <v>156436818</v>
      </c>
      <c r="I32" s="24">
        <v>16170525</v>
      </c>
      <c r="J32" s="38">
        <v>0.10340000000000001</v>
      </c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>
        <v>47</v>
      </c>
      <c r="C34" s="24">
        <v>358740000</v>
      </c>
      <c r="D34" s="24">
        <v>50</v>
      </c>
      <c r="E34" s="24">
        <v>335081081</v>
      </c>
      <c r="F34" s="24">
        <v>77</v>
      </c>
      <c r="G34" s="24">
        <v>424042961</v>
      </c>
      <c r="H34" s="24">
        <v>408291505</v>
      </c>
      <c r="I34" s="24">
        <v>53078744</v>
      </c>
      <c r="J34" s="38">
        <v>0.13</v>
      </c>
    </row>
    <row r="35" spans="1:10" x14ac:dyDescent="0.2">
      <c r="A35" s="35" t="s">
        <v>52</v>
      </c>
      <c r="B35" s="24">
        <v>0</v>
      </c>
      <c r="C35" s="24">
        <v>0</v>
      </c>
      <c r="D35" s="24">
        <v>3</v>
      </c>
      <c r="E35" s="24">
        <v>39789510</v>
      </c>
      <c r="F35" s="24">
        <v>26</v>
      </c>
      <c r="G35" s="24">
        <v>133127737</v>
      </c>
      <c r="H35" s="24">
        <v>158754191</v>
      </c>
      <c r="I35" s="24">
        <v>21028704</v>
      </c>
      <c r="J35" s="38">
        <v>0.13250000000000001</v>
      </c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75</v>
      </c>
      <c r="C38" s="25">
        <v>567640000</v>
      </c>
      <c r="D38" s="25">
        <v>61</v>
      </c>
      <c r="E38" s="25">
        <v>434116971</v>
      </c>
      <c r="F38" s="25">
        <v>143</v>
      </c>
      <c r="G38" s="25">
        <v>798807096</v>
      </c>
      <c r="H38" s="25">
        <v>723482514</v>
      </c>
      <c r="I38" s="25">
        <v>90277973</v>
      </c>
      <c r="J38" s="39">
        <v>0.12196666666666667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>
        <v>0</v>
      </c>
      <c r="C40" s="24">
        <v>0</v>
      </c>
      <c r="D40" s="24">
        <v>5</v>
      </c>
      <c r="E40" s="24">
        <v>1566906</v>
      </c>
      <c r="F40" s="24">
        <v>2</v>
      </c>
      <c r="G40" s="24">
        <v>1875616</v>
      </c>
      <c r="H40" s="24">
        <v>2649554</v>
      </c>
      <c r="I40" s="24">
        <v>313421</v>
      </c>
      <c r="J40" s="38">
        <v>0.1183</v>
      </c>
    </row>
    <row r="41" spans="1:10" x14ac:dyDescent="0.2">
      <c r="A41" s="35" t="s">
        <v>53</v>
      </c>
      <c r="B41" s="24">
        <v>0</v>
      </c>
      <c r="C41" s="24">
        <v>0</v>
      </c>
      <c r="D41" s="24">
        <v>3</v>
      </c>
      <c r="E41" s="24">
        <v>3228106</v>
      </c>
      <c r="F41" s="24">
        <v>7</v>
      </c>
      <c r="G41" s="24">
        <v>5694548</v>
      </c>
      <c r="H41" s="24">
        <v>7186425</v>
      </c>
      <c r="I41" s="24">
        <v>763561</v>
      </c>
      <c r="J41" s="38">
        <v>0.10630000000000001</v>
      </c>
    </row>
    <row r="42" spans="1:10" x14ac:dyDescent="0.2">
      <c r="A42" s="35" t="s">
        <v>54</v>
      </c>
      <c r="B42" s="24">
        <v>24</v>
      </c>
      <c r="C42" s="24">
        <v>8900000</v>
      </c>
      <c r="D42" s="24">
        <v>39</v>
      </c>
      <c r="E42" s="24">
        <v>14155661</v>
      </c>
      <c r="F42" s="24">
        <v>60</v>
      </c>
      <c r="G42" s="24">
        <v>16079222</v>
      </c>
      <c r="H42" s="24">
        <v>19162084</v>
      </c>
      <c r="I42" s="24">
        <v>1618555</v>
      </c>
      <c r="J42" s="38">
        <v>8.4500000000000006E-2</v>
      </c>
    </row>
    <row r="43" spans="1:10" x14ac:dyDescent="0.2">
      <c r="A43" s="35" t="s">
        <v>55</v>
      </c>
      <c r="B43" s="24">
        <v>12</v>
      </c>
      <c r="C43" s="24">
        <v>6553500</v>
      </c>
      <c r="D43" s="24">
        <v>17</v>
      </c>
      <c r="E43" s="24">
        <v>8023593</v>
      </c>
      <c r="F43" s="24">
        <v>9</v>
      </c>
      <c r="G43" s="24">
        <v>3489631</v>
      </c>
      <c r="H43" s="24">
        <v>4693358</v>
      </c>
      <c r="I43" s="24">
        <v>251843</v>
      </c>
      <c r="J43" s="38">
        <v>5.3699999999999998E-2</v>
      </c>
    </row>
    <row r="44" spans="1:10" x14ac:dyDescent="0.2">
      <c r="A44" s="35" t="s">
        <v>56</v>
      </c>
      <c r="B44" s="24">
        <v>56</v>
      </c>
      <c r="C44" s="24">
        <v>67590000</v>
      </c>
      <c r="D44" s="24">
        <v>34</v>
      </c>
      <c r="E44" s="24">
        <v>43136507</v>
      </c>
      <c r="F44" s="24">
        <v>112</v>
      </c>
      <c r="G44" s="24">
        <v>108789057</v>
      </c>
      <c r="H44" s="24">
        <v>92410712</v>
      </c>
      <c r="I44" s="24">
        <v>8399724</v>
      </c>
      <c r="J44" s="38">
        <v>9.0899999999999995E-2</v>
      </c>
    </row>
    <row r="45" spans="1:10" x14ac:dyDescent="0.2">
      <c r="A45" s="35" t="s">
        <v>57</v>
      </c>
      <c r="B45" s="24">
        <v>45</v>
      </c>
      <c r="C45" s="24">
        <v>28900000</v>
      </c>
      <c r="D45" s="24">
        <v>53</v>
      </c>
      <c r="E45" s="24">
        <v>43887756</v>
      </c>
      <c r="F45" s="24">
        <v>111</v>
      </c>
      <c r="G45" s="24">
        <v>75404014</v>
      </c>
      <c r="H45" s="24">
        <v>84714092</v>
      </c>
      <c r="I45" s="24">
        <v>8021164</v>
      </c>
      <c r="J45" s="38">
        <v>9.4700000000000006E-2</v>
      </c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137</v>
      </c>
      <c r="C47" s="25">
        <v>111943500</v>
      </c>
      <c r="D47" s="25">
        <v>151</v>
      </c>
      <c r="E47" s="25">
        <v>113998529</v>
      </c>
      <c r="F47" s="25">
        <v>301</v>
      </c>
      <c r="G47" s="25">
        <v>211332088</v>
      </c>
      <c r="H47" s="25">
        <v>210816225</v>
      </c>
      <c r="I47" s="25">
        <v>19368268</v>
      </c>
      <c r="J47" s="39">
        <v>9.1399999999999995E-2</v>
      </c>
    </row>
    <row r="48" spans="1:10" x14ac:dyDescent="0.2">
      <c r="A48" s="35" t="s">
        <v>58</v>
      </c>
      <c r="B48" s="24">
        <v>5</v>
      </c>
      <c r="C48" s="24">
        <v>8740000</v>
      </c>
      <c r="D48" s="24">
        <v>13</v>
      </c>
      <c r="E48" s="24">
        <v>22839273</v>
      </c>
      <c r="F48" s="24">
        <v>41</v>
      </c>
      <c r="G48" s="24">
        <v>59318890</v>
      </c>
      <c r="H48" s="24">
        <v>67218568</v>
      </c>
      <c r="I48" s="24">
        <v>4493065</v>
      </c>
      <c r="J48" s="38">
        <v>6.6799999999999998E-2</v>
      </c>
    </row>
    <row r="49" spans="1:10" ht="24" x14ac:dyDescent="0.2">
      <c r="A49" s="35" t="s">
        <v>59</v>
      </c>
      <c r="B49" s="24">
        <v>1</v>
      </c>
      <c r="C49" s="24">
        <v>3152278</v>
      </c>
      <c r="D49" s="24">
        <v>1</v>
      </c>
      <c r="E49" s="24">
        <v>2046617</v>
      </c>
      <c r="F49" s="24">
        <v>2</v>
      </c>
      <c r="G49" s="24">
        <v>5845731</v>
      </c>
      <c r="H49" s="24">
        <v>4685106</v>
      </c>
      <c r="I49" s="24">
        <v>303716</v>
      </c>
      <c r="J49" s="38">
        <v>6.4799999999999996E-2</v>
      </c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6</v>
      </c>
      <c r="C52" s="25">
        <v>11892278</v>
      </c>
      <c r="D52" s="25">
        <v>14</v>
      </c>
      <c r="E52" s="25">
        <v>24885890</v>
      </c>
      <c r="F52" s="25">
        <v>43</v>
      </c>
      <c r="G52" s="25">
        <v>65164621</v>
      </c>
      <c r="H52" s="25">
        <v>71903674</v>
      </c>
      <c r="I52" s="25">
        <v>4796781</v>
      </c>
      <c r="J52" s="39">
        <v>6.5799999999999997E-2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1256</v>
      </c>
      <c r="C63" s="40">
        <v>3188676260</v>
      </c>
      <c r="D63" s="40">
        <v>877</v>
      </c>
      <c r="E63" s="40">
        <v>2321704282</v>
      </c>
      <c r="F63" s="40">
        <v>3856</v>
      </c>
      <c r="G63" s="40">
        <v>6925468079</v>
      </c>
      <c r="H63" s="40">
        <v>6501485328</v>
      </c>
      <c r="I63" s="40">
        <v>626451254</v>
      </c>
      <c r="J63" s="41">
        <v>9.6355097703913484E-2</v>
      </c>
    </row>
  </sheetData>
  <phoneticPr fontId="2"/>
  <pageMargins left="0.7" right="0.7" top="0.75" bottom="0.75" header="0.3" footer="0.3"/>
  <pageSetup paperSize="9" scale="83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347EA-2354-40F6-89E8-A83CD602C52E}">
  <sheetPr>
    <pageSetUpPr fitToPage="1"/>
  </sheetPr>
  <dimension ref="A1:J63"/>
  <sheetViews>
    <sheetView workbookViewId="0"/>
  </sheetViews>
  <sheetFormatPr defaultRowHeight="13" x14ac:dyDescent="0.2"/>
  <cols>
    <col min="1" max="1" width="15.81640625" style="33" customWidth="1"/>
    <col min="2" max="2" width="5.54296875" style="7" customWidth="1"/>
    <col min="3" max="3" width="13.90625" style="7" customWidth="1"/>
    <col min="4" max="4" width="5.7265625" style="7" customWidth="1"/>
    <col min="5" max="5" width="11.453125" style="7" customWidth="1"/>
    <col min="6" max="6" width="5.90625" style="7" customWidth="1"/>
    <col min="7" max="7" width="13.08984375" style="7" customWidth="1"/>
    <col min="8" max="8" width="11.7265625" style="7" customWidth="1"/>
    <col min="9" max="9" width="12.08984375" style="7" bestFit="1" customWidth="1"/>
    <col min="10" max="10" width="6.1796875" style="8" customWidth="1"/>
  </cols>
  <sheetData>
    <row r="1" spans="1:10" x14ac:dyDescent="0.2">
      <c r="A1" s="33" t="s">
        <v>0</v>
      </c>
      <c r="B1" s="6" t="s">
        <v>168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>
        <v>0</v>
      </c>
      <c r="C6" s="24">
        <v>0</v>
      </c>
      <c r="D6" s="24">
        <v>2</v>
      </c>
      <c r="E6" s="24">
        <v>628418</v>
      </c>
      <c r="F6" s="24">
        <v>3</v>
      </c>
      <c r="G6" s="24">
        <v>1100318</v>
      </c>
      <c r="H6" s="24">
        <v>1376368</v>
      </c>
      <c r="I6" s="24">
        <v>182071</v>
      </c>
      <c r="J6" s="38">
        <v>0.1323</v>
      </c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>
        <v>688</v>
      </c>
      <c r="C8" s="24">
        <v>1697843662</v>
      </c>
      <c r="D8" s="24">
        <v>328</v>
      </c>
      <c r="E8" s="24">
        <v>1208461978</v>
      </c>
      <c r="F8" s="24">
        <v>2377</v>
      </c>
      <c r="G8" s="24">
        <v>4191127813</v>
      </c>
      <c r="H8" s="24">
        <v>3978055682</v>
      </c>
      <c r="I8" s="24">
        <v>363286671</v>
      </c>
      <c r="J8" s="38">
        <v>9.1300000000000006E-2</v>
      </c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>
        <v>4</v>
      </c>
      <c r="C10" s="24">
        <v>11300000</v>
      </c>
      <c r="D10" s="24">
        <v>15</v>
      </c>
      <c r="E10" s="24">
        <v>34566898</v>
      </c>
      <c r="F10" s="24">
        <v>63</v>
      </c>
      <c r="G10" s="24">
        <v>87910052</v>
      </c>
      <c r="H10" s="24">
        <v>99927140</v>
      </c>
      <c r="I10" s="24">
        <v>11057508</v>
      </c>
      <c r="J10" s="38">
        <v>0.11070000000000001</v>
      </c>
    </row>
    <row r="11" spans="1:10" x14ac:dyDescent="0.2">
      <c r="A11" s="35" t="s">
        <v>37</v>
      </c>
      <c r="B11" s="24">
        <v>179</v>
      </c>
      <c r="C11" s="24">
        <v>549980000</v>
      </c>
      <c r="D11" s="24">
        <v>144</v>
      </c>
      <c r="E11" s="24">
        <v>481764236</v>
      </c>
      <c r="F11" s="24">
        <v>805</v>
      </c>
      <c r="G11" s="24">
        <v>1633673197</v>
      </c>
      <c r="H11" s="24">
        <v>1640792570</v>
      </c>
      <c r="I11" s="24">
        <v>152473057</v>
      </c>
      <c r="J11" s="38">
        <v>9.2899999999999996E-2</v>
      </c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>
        <v>47</v>
      </c>
      <c r="C14" s="24">
        <v>45180000</v>
      </c>
      <c r="D14" s="24">
        <v>60</v>
      </c>
      <c r="E14" s="24">
        <v>65051756</v>
      </c>
      <c r="F14" s="24">
        <v>174</v>
      </c>
      <c r="G14" s="24">
        <v>121816257</v>
      </c>
      <c r="H14" s="24">
        <v>129087105</v>
      </c>
      <c r="I14" s="24">
        <v>13605656</v>
      </c>
      <c r="J14" s="38">
        <v>0.10539999999999999</v>
      </c>
    </row>
    <row r="15" spans="1:10" x14ac:dyDescent="0.2">
      <c r="A15" s="35" t="s">
        <v>41</v>
      </c>
      <c r="B15" s="24">
        <v>16</v>
      </c>
      <c r="C15" s="24">
        <v>13890000</v>
      </c>
      <c r="D15" s="24">
        <v>20</v>
      </c>
      <c r="E15" s="24">
        <v>12740893</v>
      </c>
      <c r="F15" s="24">
        <v>36</v>
      </c>
      <c r="G15" s="24">
        <v>25638918</v>
      </c>
      <c r="H15" s="24">
        <v>25926413</v>
      </c>
      <c r="I15" s="24">
        <v>2677741</v>
      </c>
      <c r="J15" s="38">
        <v>0.1033</v>
      </c>
    </row>
    <row r="16" spans="1:10" x14ac:dyDescent="0.2">
      <c r="A16" s="35" t="s">
        <v>42</v>
      </c>
      <c r="B16" s="24">
        <v>87</v>
      </c>
      <c r="C16" s="24">
        <v>133390000</v>
      </c>
      <c r="D16" s="24">
        <v>29</v>
      </c>
      <c r="E16" s="24">
        <v>87626799</v>
      </c>
      <c r="F16" s="24">
        <v>206</v>
      </c>
      <c r="G16" s="24">
        <v>286583521</v>
      </c>
      <c r="H16" s="24">
        <v>270621438</v>
      </c>
      <c r="I16" s="24">
        <v>28099892</v>
      </c>
      <c r="J16" s="38">
        <v>0.1038</v>
      </c>
    </row>
    <row r="17" spans="1:10" x14ac:dyDescent="0.2">
      <c r="A17" s="36" t="s">
        <v>73</v>
      </c>
      <c r="B17" s="25">
        <v>1021</v>
      </c>
      <c r="C17" s="25">
        <v>2451583662</v>
      </c>
      <c r="D17" s="25">
        <v>598</v>
      </c>
      <c r="E17" s="25">
        <v>1890840978</v>
      </c>
      <c r="F17" s="25">
        <v>3664</v>
      </c>
      <c r="G17" s="25">
        <v>6347850076</v>
      </c>
      <c r="H17" s="25">
        <v>6145786716</v>
      </c>
      <c r="I17" s="25">
        <v>571382596</v>
      </c>
      <c r="J17" s="39">
        <v>0.10567142857142856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/>
      <c r="C21" s="24"/>
      <c r="D21" s="24"/>
      <c r="E21" s="24"/>
      <c r="F21" s="24"/>
      <c r="G21" s="24"/>
      <c r="H21" s="24"/>
      <c r="I21" s="24"/>
      <c r="J21" s="38"/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14</v>
      </c>
      <c r="C25" s="24">
        <v>13881452</v>
      </c>
      <c r="D25" s="24">
        <v>14</v>
      </c>
      <c r="E25" s="24">
        <v>17748046</v>
      </c>
      <c r="F25" s="24">
        <v>45</v>
      </c>
      <c r="G25" s="24">
        <v>31744925</v>
      </c>
      <c r="H25" s="24">
        <v>33459682</v>
      </c>
      <c r="I25" s="24">
        <v>2285930</v>
      </c>
      <c r="J25" s="38">
        <v>6.83E-2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>
        <v>23</v>
      </c>
      <c r="C27" s="24">
        <v>8289000</v>
      </c>
      <c r="D27" s="24">
        <v>34</v>
      </c>
      <c r="E27" s="24">
        <v>16462607</v>
      </c>
      <c r="F27" s="24">
        <v>71</v>
      </c>
      <c r="G27" s="24">
        <v>19189756</v>
      </c>
      <c r="H27" s="24">
        <v>21643410</v>
      </c>
      <c r="I27" s="24">
        <v>1654144</v>
      </c>
      <c r="J27" s="38">
        <v>7.6399999999999996E-2</v>
      </c>
    </row>
    <row r="28" spans="1:10" x14ac:dyDescent="0.2">
      <c r="A28" s="35" t="s">
        <v>110</v>
      </c>
      <c r="B28" s="24">
        <v>0</v>
      </c>
      <c r="C28" s="24">
        <v>0</v>
      </c>
      <c r="D28" s="24">
        <v>1</v>
      </c>
      <c r="E28" s="24">
        <v>85000</v>
      </c>
      <c r="F28" s="24">
        <v>0</v>
      </c>
      <c r="G28" s="24">
        <v>0</v>
      </c>
      <c r="H28" s="24">
        <v>35962</v>
      </c>
      <c r="I28" s="24">
        <v>4645</v>
      </c>
      <c r="J28" s="38">
        <v>0.12920000000000001</v>
      </c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37</v>
      </c>
      <c r="C31" s="25">
        <v>22170452</v>
      </c>
      <c r="D31" s="25">
        <v>49</v>
      </c>
      <c r="E31" s="25">
        <v>34295653</v>
      </c>
      <c r="F31" s="25">
        <v>116</v>
      </c>
      <c r="G31" s="25">
        <v>50934681</v>
      </c>
      <c r="H31" s="25">
        <v>55139054</v>
      </c>
      <c r="I31" s="25">
        <v>3944719</v>
      </c>
      <c r="J31" s="39">
        <v>9.1300000000000006E-2</v>
      </c>
    </row>
    <row r="32" spans="1:10" x14ac:dyDescent="0.2">
      <c r="A32" s="35" t="s">
        <v>50</v>
      </c>
      <c r="B32" s="24">
        <v>26</v>
      </c>
      <c r="C32" s="24">
        <v>212300000</v>
      </c>
      <c r="D32" s="24">
        <v>2</v>
      </c>
      <c r="E32" s="24">
        <v>52844624</v>
      </c>
      <c r="F32" s="24">
        <v>64</v>
      </c>
      <c r="G32" s="24">
        <v>401091774</v>
      </c>
      <c r="H32" s="24">
        <v>330437454</v>
      </c>
      <c r="I32" s="24">
        <v>34680456</v>
      </c>
      <c r="J32" s="38">
        <v>0.105</v>
      </c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>
        <v>47</v>
      </c>
      <c r="C34" s="24">
        <v>313250000</v>
      </c>
      <c r="D34" s="24">
        <v>51</v>
      </c>
      <c r="E34" s="24">
        <v>327129291</v>
      </c>
      <c r="F34" s="24">
        <v>73</v>
      </c>
      <c r="G34" s="24">
        <v>410163670</v>
      </c>
      <c r="H34" s="24">
        <v>407446200</v>
      </c>
      <c r="I34" s="24">
        <v>35158236</v>
      </c>
      <c r="J34" s="38">
        <v>8.6300000000000002E-2</v>
      </c>
    </row>
    <row r="35" spans="1:10" x14ac:dyDescent="0.2">
      <c r="A35" s="35" t="s">
        <v>52</v>
      </c>
      <c r="B35" s="24">
        <v>0</v>
      </c>
      <c r="C35" s="24">
        <v>0</v>
      </c>
      <c r="D35" s="24">
        <v>4</v>
      </c>
      <c r="E35" s="24">
        <v>43342859</v>
      </c>
      <c r="F35" s="24">
        <v>22</v>
      </c>
      <c r="G35" s="24">
        <v>89784878</v>
      </c>
      <c r="H35" s="24">
        <v>106823689</v>
      </c>
      <c r="I35" s="24">
        <v>13826983</v>
      </c>
      <c r="J35" s="38">
        <v>0.12939999999999999</v>
      </c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73</v>
      </c>
      <c r="C38" s="25">
        <v>525550000</v>
      </c>
      <c r="D38" s="25">
        <v>57</v>
      </c>
      <c r="E38" s="25">
        <v>423316774</v>
      </c>
      <c r="F38" s="25">
        <v>159</v>
      </c>
      <c r="G38" s="25">
        <v>901040322</v>
      </c>
      <c r="H38" s="25">
        <v>844707343</v>
      </c>
      <c r="I38" s="25">
        <v>83665675</v>
      </c>
      <c r="J38" s="39">
        <v>0.1069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>
        <v>0</v>
      </c>
      <c r="C40" s="24">
        <v>0</v>
      </c>
      <c r="D40" s="24">
        <v>0</v>
      </c>
      <c r="E40" s="24">
        <v>878156</v>
      </c>
      <c r="F40" s="24">
        <v>2</v>
      </c>
      <c r="G40" s="24">
        <v>997460</v>
      </c>
      <c r="H40" s="24">
        <v>1445110</v>
      </c>
      <c r="I40" s="24">
        <v>190516</v>
      </c>
      <c r="J40" s="38">
        <v>0.1318</v>
      </c>
    </row>
    <row r="41" spans="1:10" x14ac:dyDescent="0.2">
      <c r="A41" s="35" t="s">
        <v>53</v>
      </c>
      <c r="B41" s="24">
        <v>0</v>
      </c>
      <c r="C41" s="24">
        <v>0</v>
      </c>
      <c r="D41" s="24">
        <v>3</v>
      </c>
      <c r="E41" s="24">
        <v>2808693</v>
      </c>
      <c r="F41" s="24">
        <v>4</v>
      </c>
      <c r="G41" s="24">
        <v>2885855</v>
      </c>
      <c r="H41" s="24">
        <v>4283409</v>
      </c>
      <c r="I41" s="24">
        <v>455350</v>
      </c>
      <c r="J41" s="38">
        <v>0.10630000000000001</v>
      </c>
    </row>
    <row r="42" spans="1:10" x14ac:dyDescent="0.2">
      <c r="A42" s="35" t="s">
        <v>54</v>
      </c>
      <c r="B42" s="24">
        <v>19</v>
      </c>
      <c r="C42" s="24">
        <v>5100000</v>
      </c>
      <c r="D42" s="24">
        <v>37</v>
      </c>
      <c r="E42" s="24">
        <v>10258002</v>
      </c>
      <c r="F42" s="24">
        <v>42</v>
      </c>
      <c r="G42" s="24">
        <v>10921220</v>
      </c>
      <c r="H42" s="24">
        <v>11755542</v>
      </c>
      <c r="I42" s="24">
        <v>982380</v>
      </c>
      <c r="J42" s="38">
        <v>8.3599999999999994E-2</v>
      </c>
    </row>
    <row r="43" spans="1:10" x14ac:dyDescent="0.2">
      <c r="A43" s="35" t="s">
        <v>55</v>
      </c>
      <c r="B43" s="24">
        <v>9</v>
      </c>
      <c r="C43" s="24">
        <v>4130000</v>
      </c>
      <c r="D43" s="24">
        <v>10</v>
      </c>
      <c r="E43" s="24">
        <v>2808181</v>
      </c>
      <c r="F43" s="24">
        <v>8</v>
      </c>
      <c r="G43" s="24">
        <v>4811450</v>
      </c>
      <c r="H43" s="24">
        <v>4019559</v>
      </c>
      <c r="I43" s="24">
        <v>180772</v>
      </c>
      <c r="J43" s="38">
        <v>4.4999999999999998E-2</v>
      </c>
    </row>
    <row r="44" spans="1:10" x14ac:dyDescent="0.2">
      <c r="A44" s="35" t="s">
        <v>56</v>
      </c>
      <c r="B44" s="24">
        <v>48</v>
      </c>
      <c r="C44" s="24">
        <v>59520000</v>
      </c>
      <c r="D44" s="24">
        <v>36</v>
      </c>
      <c r="E44" s="24">
        <v>38524705</v>
      </c>
      <c r="F44" s="24">
        <v>124</v>
      </c>
      <c r="G44" s="24">
        <v>129784352</v>
      </c>
      <c r="H44" s="24">
        <v>117110916</v>
      </c>
      <c r="I44" s="24">
        <v>10717287</v>
      </c>
      <c r="J44" s="38">
        <v>9.1499999999999998E-2</v>
      </c>
    </row>
    <row r="45" spans="1:10" x14ac:dyDescent="0.2">
      <c r="A45" s="35" t="s">
        <v>57</v>
      </c>
      <c r="B45" s="24">
        <v>41</v>
      </c>
      <c r="C45" s="24">
        <v>23500000</v>
      </c>
      <c r="D45" s="24">
        <v>49</v>
      </c>
      <c r="E45" s="24">
        <v>36647095</v>
      </c>
      <c r="F45" s="24">
        <v>103</v>
      </c>
      <c r="G45" s="24">
        <v>62256919</v>
      </c>
      <c r="H45" s="24">
        <v>68458212</v>
      </c>
      <c r="I45" s="24">
        <v>6368140</v>
      </c>
      <c r="J45" s="38">
        <v>9.2999999999999999E-2</v>
      </c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117</v>
      </c>
      <c r="C47" s="25">
        <v>92250000</v>
      </c>
      <c r="D47" s="25">
        <v>135</v>
      </c>
      <c r="E47" s="25">
        <v>91924832</v>
      </c>
      <c r="F47" s="25">
        <v>283</v>
      </c>
      <c r="G47" s="25">
        <v>211657256</v>
      </c>
      <c r="H47" s="25">
        <v>207072748</v>
      </c>
      <c r="I47" s="25">
        <v>18894445</v>
      </c>
      <c r="J47" s="39">
        <v>9.1866666666666652E-2</v>
      </c>
    </row>
    <row r="48" spans="1:10" x14ac:dyDescent="0.2">
      <c r="A48" s="35" t="s">
        <v>58</v>
      </c>
      <c r="B48" s="24">
        <v>9</v>
      </c>
      <c r="C48" s="24">
        <v>11650000</v>
      </c>
      <c r="D48" s="24">
        <v>12</v>
      </c>
      <c r="E48" s="24">
        <v>22365502</v>
      </c>
      <c r="F48" s="24">
        <v>38</v>
      </c>
      <c r="G48" s="24">
        <v>48603388</v>
      </c>
      <c r="H48" s="24">
        <v>52865156</v>
      </c>
      <c r="I48" s="24">
        <v>3461609</v>
      </c>
      <c r="J48" s="38">
        <v>6.5500000000000003E-2</v>
      </c>
    </row>
    <row r="49" spans="1:10" ht="24" x14ac:dyDescent="0.2">
      <c r="A49" s="35" t="s">
        <v>59</v>
      </c>
      <c r="B49" s="24">
        <v>1</v>
      </c>
      <c r="C49" s="24">
        <v>1650000</v>
      </c>
      <c r="D49" s="24">
        <v>0</v>
      </c>
      <c r="E49" s="24">
        <v>1376144</v>
      </c>
      <c r="F49" s="24">
        <v>3</v>
      </c>
      <c r="G49" s="24">
        <v>6119587</v>
      </c>
      <c r="H49" s="24">
        <v>6340633</v>
      </c>
      <c r="I49" s="24">
        <v>466888</v>
      </c>
      <c r="J49" s="38">
        <v>7.3599999999999999E-2</v>
      </c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10</v>
      </c>
      <c r="C52" s="25">
        <v>13300000</v>
      </c>
      <c r="D52" s="25">
        <v>12</v>
      </c>
      <c r="E52" s="25">
        <v>23741646</v>
      </c>
      <c r="F52" s="25">
        <v>41</v>
      </c>
      <c r="G52" s="25">
        <v>54722975</v>
      </c>
      <c r="H52" s="25">
        <v>59205789</v>
      </c>
      <c r="I52" s="25">
        <v>3928497</v>
      </c>
      <c r="J52" s="39">
        <v>6.9550000000000001E-2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1258</v>
      </c>
      <c r="C63" s="40">
        <v>3104854114</v>
      </c>
      <c r="D63" s="40">
        <v>851</v>
      </c>
      <c r="E63" s="40">
        <v>2464119883</v>
      </c>
      <c r="F63" s="40">
        <v>4263</v>
      </c>
      <c r="G63" s="40">
        <v>7566205310</v>
      </c>
      <c r="H63" s="40">
        <v>7311911650</v>
      </c>
      <c r="I63" s="40">
        <v>681815932</v>
      </c>
      <c r="J63" s="41">
        <v>9.3247288074111229E-2</v>
      </c>
    </row>
  </sheetData>
  <phoneticPr fontId="2"/>
  <pageMargins left="0.7" right="0.7" top="0.75" bottom="0.75" header="0.3" footer="0.3"/>
  <pageSetup paperSize="9" scale="87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6F851-FC70-44C0-8AEE-5B9295660845}">
  <sheetPr>
    <pageSetUpPr fitToPage="1"/>
  </sheetPr>
  <dimension ref="A1:J63"/>
  <sheetViews>
    <sheetView workbookViewId="0">
      <selection activeCell="A2" sqref="A2"/>
    </sheetView>
  </sheetViews>
  <sheetFormatPr defaultRowHeight="13" x14ac:dyDescent="0.2"/>
  <cols>
    <col min="1" max="1" width="15.81640625" style="33" customWidth="1"/>
    <col min="2" max="2" width="9.08984375" style="7"/>
    <col min="3" max="3" width="13.08984375" style="7" customWidth="1"/>
    <col min="4" max="4" width="6.1796875" style="7" customWidth="1"/>
    <col min="5" max="5" width="13.6328125" style="7" bestFit="1" customWidth="1"/>
    <col min="6" max="6" width="5.81640625" style="7" customWidth="1"/>
    <col min="7" max="7" width="13" style="7" customWidth="1"/>
    <col min="8" max="8" width="14.1796875" style="7" customWidth="1"/>
    <col min="9" max="9" width="12.08984375" style="7" bestFit="1" customWidth="1"/>
    <col min="10" max="10" width="9.08984375" style="8"/>
  </cols>
  <sheetData>
    <row r="1" spans="1:10" x14ac:dyDescent="0.2">
      <c r="A1" s="33" t="s">
        <v>0</v>
      </c>
      <c r="B1" s="6" t="s">
        <v>169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>
        <v>0</v>
      </c>
      <c r="C6" s="24">
        <v>0</v>
      </c>
      <c r="D6" s="24">
        <v>1</v>
      </c>
      <c r="E6" s="24">
        <v>615348</v>
      </c>
      <c r="F6" s="24">
        <v>2</v>
      </c>
      <c r="G6" s="24">
        <v>484970</v>
      </c>
      <c r="H6" s="24">
        <v>813522</v>
      </c>
      <c r="I6" s="24">
        <v>109847</v>
      </c>
      <c r="J6" s="38">
        <v>0.13500000000000001</v>
      </c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>
        <v>658</v>
      </c>
      <c r="C8" s="24">
        <v>1583475000</v>
      </c>
      <c r="D8" s="24">
        <v>427</v>
      </c>
      <c r="E8" s="24">
        <v>1341843619</v>
      </c>
      <c r="F8" s="24">
        <v>2608</v>
      </c>
      <c r="G8" s="24">
        <v>4432759194</v>
      </c>
      <c r="H8" s="24">
        <v>4362924355</v>
      </c>
      <c r="I8" s="24">
        <v>397643906</v>
      </c>
      <c r="J8" s="38">
        <v>9.11E-2</v>
      </c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>
        <v>7</v>
      </c>
      <c r="C10" s="24">
        <v>16600000</v>
      </c>
      <c r="D10" s="24">
        <v>15</v>
      </c>
      <c r="E10" s="24">
        <v>27474843</v>
      </c>
      <c r="F10" s="24">
        <v>55</v>
      </c>
      <c r="G10" s="24">
        <v>77035209</v>
      </c>
      <c r="H10" s="24">
        <v>82620217</v>
      </c>
      <c r="I10" s="24">
        <v>8945156</v>
      </c>
      <c r="J10" s="38">
        <v>0.10829999999999999</v>
      </c>
    </row>
    <row r="11" spans="1:10" x14ac:dyDescent="0.2">
      <c r="A11" s="35" t="s">
        <v>37</v>
      </c>
      <c r="B11" s="24">
        <v>133</v>
      </c>
      <c r="C11" s="24">
        <v>404530000</v>
      </c>
      <c r="D11" s="24">
        <v>116</v>
      </c>
      <c r="E11" s="24">
        <v>442566574</v>
      </c>
      <c r="F11" s="24">
        <v>822</v>
      </c>
      <c r="G11" s="24">
        <v>1595636623</v>
      </c>
      <c r="H11" s="24">
        <v>1600373721</v>
      </c>
      <c r="I11" s="24">
        <v>148920142</v>
      </c>
      <c r="J11" s="38">
        <v>9.3100000000000002E-2</v>
      </c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>
        <v>53</v>
      </c>
      <c r="C14" s="24">
        <v>52280000</v>
      </c>
      <c r="D14" s="24">
        <v>56</v>
      </c>
      <c r="E14" s="24">
        <v>58024598</v>
      </c>
      <c r="F14" s="24">
        <v>171</v>
      </c>
      <c r="G14" s="24">
        <v>116071659</v>
      </c>
      <c r="H14" s="24">
        <v>117209703</v>
      </c>
      <c r="I14" s="24">
        <v>12093845</v>
      </c>
      <c r="J14" s="38">
        <v>0.1032</v>
      </c>
    </row>
    <row r="15" spans="1:10" x14ac:dyDescent="0.2">
      <c r="A15" s="35" t="s">
        <v>41</v>
      </c>
      <c r="B15" s="24">
        <v>16</v>
      </c>
      <c r="C15" s="24">
        <v>11128000</v>
      </c>
      <c r="D15" s="24">
        <v>10</v>
      </c>
      <c r="E15" s="24">
        <v>9561394</v>
      </c>
      <c r="F15" s="24">
        <v>42</v>
      </c>
      <c r="G15" s="24">
        <v>27205524</v>
      </c>
      <c r="H15" s="24">
        <v>27253045</v>
      </c>
      <c r="I15" s="24">
        <v>2826936</v>
      </c>
      <c r="J15" s="38">
        <v>0.1037</v>
      </c>
    </row>
    <row r="16" spans="1:10" x14ac:dyDescent="0.2">
      <c r="A16" s="35" t="s">
        <v>42</v>
      </c>
      <c r="B16" s="24">
        <v>53</v>
      </c>
      <c r="C16" s="24">
        <v>95650000</v>
      </c>
      <c r="D16" s="24">
        <v>39</v>
      </c>
      <c r="E16" s="24">
        <v>85780770</v>
      </c>
      <c r="F16" s="24">
        <v>220</v>
      </c>
      <c r="G16" s="24">
        <v>296452751</v>
      </c>
      <c r="H16" s="24">
        <v>291226552</v>
      </c>
      <c r="I16" s="24">
        <v>30461496</v>
      </c>
      <c r="J16" s="38">
        <v>0.1046</v>
      </c>
    </row>
    <row r="17" spans="1:10" x14ac:dyDescent="0.2">
      <c r="A17" s="36" t="s">
        <v>73</v>
      </c>
      <c r="B17" s="25">
        <v>920</v>
      </c>
      <c r="C17" s="25">
        <v>2163663000</v>
      </c>
      <c r="D17" s="25">
        <v>664</v>
      </c>
      <c r="E17" s="25">
        <v>1965867146</v>
      </c>
      <c r="F17" s="25">
        <v>3920</v>
      </c>
      <c r="G17" s="25">
        <v>6545645930</v>
      </c>
      <c r="H17" s="25">
        <v>6482421115</v>
      </c>
      <c r="I17" s="25">
        <v>601001328</v>
      </c>
      <c r="J17" s="39">
        <v>0.10557142857142858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>
        <v>2</v>
      </c>
      <c r="C19" s="24">
        <v>1250000</v>
      </c>
      <c r="D19" s="24">
        <v>0</v>
      </c>
      <c r="E19" s="24">
        <v>12187</v>
      </c>
      <c r="F19" s="24">
        <v>2</v>
      </c>
      <c r="G19" s="24">
        <v>1237813</v>
      </c>
      <c r="H19" s="24">
        <v>133678</v>
      </c>
      <c r="I19" s="24">
        <v>3013</v>
      </c>
      <c r="J19" s="38">
        <v>2.2499999999999999E-2</v>
      </c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>
        <v>9</v>
      </c>
      <c r="C21" s="24">
        <v>8690000</v>
      </c>
      <c r="D21" s="24">
        <v>0</v>
      </c>
      <c r="E21" s="24">
        <v>212459</v>
      </c>
      <c r="F21" s="24">
        <v>9</v>
      </c>
      <c r="G21" s="24">
        <v>8477541</v>
      </c>
      <c r="H21" s="24">
        <v>1903569</v>
      </c>
      <c r="I21" s="24">
        <v>100135</v>
      </c>
      <c r="J21" s="38">
        <v>5.2600000000000001E-2</v>
      </c>
    </row>
    <row r="22" spans="1:10" x14ac:dyDescent="0.2">
      <c r="A22" s="35" t="s">
        <v>46</v>
      </c>
      <c r="B22" s="24">
        <v>1</v>
      </c>
      <c r="C22" s="24">
        <v>2000000</v>
      </c>
      <c r="D22" s="24">
        <v>0</v>
      </c>
      <c r="E22" s="24">
        <v>0</v>
      </c>
      <c r="F22" s="24">
        <v>1</v>
      </c>
      <c r="G22" s="24">
        <v>2000000</v>
      </c>
      <c r="H22" s="24">
        <v>153846</v>
      </c>
      <c r="I22" s="24">
        <v>0</v>
      </c>
      <c r="J22" s="38">
        <v>0</v>
      </c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>
        <v>1</v>
      </c>
      <c r="C24" s="24">
        <v>500000</v>
      </c>
      <c r="D24" s="24">
        <v>0</v>
      </c>
      <c r="E24" s="24">
        <v>6717</v>
      </c>
      <c r="F24" s="24">
        <v>1</v>
      </c>
      <c r="G24" s="24">
        <v>493283</v>
      </c>
      <c r="H24" s="24">
        <v>76406</v>
      </c>
      <c r="I24" s="24">
        <v>3493</v>
      </c>
      <c r="J24" s="38">
        <v>4.5699999999999998E-2</v>
      </c>
    </row>
    <row r="25" spans="1:10" x14ac:dyDescent="0.2">
      <c r="A25" s="35" t="s">
        <v>49</v>
      </c>
      <c r="B25" s="24">
        <v>18</v>
      </c>
      <c r="C25" s="24">
        <v>11839821</v>
      </c>
      <c r="D25" s="24">
        <v>14</v>
      </c>
      <c r="E25" s="24">
        <v>14433752</v>
      </c>
      <c r="F25" s="24">
        <v>49</v>
      </c>
      <c r="G25" s="24">
        <v>29150994</v>
      </c>
      <c r="H25" s="24">
        <v>27924776</v>
      </c>
      <c r="I25" s="24">
        <v>1512129</v>
      </c>
      <c r="J25" s="38">
        <v>5.4199999999999998E-2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>
        <v>25</v>
      </c>
      <c r="C27" s="24">
        <v>11022000</v>
      </c>
      <c r="D27" s="24">
        <v>31</v>
      </c>
      <c r="E27" s="24">
        <v>12276040</v>
      </c>
      <c r="F27" s="24">
        <v>65</v>
      </c>
      <c r="G27" s="24">
        <v>17932716</v>
      </c>
      <c r="H27" s="24">
        <v>17325024</v>
      </c>
      <c r="I27" s="24">
        <v>1108054</v>
      </c>
      <c r="J27" s="38">
        <v>6.4000000000000001E-2</v>
      </c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56</v>
      </c>
      <c r="C31" s="25">
        <v>35301821</v>
      </c>
      <c r="D31" s="25">
        <v>45</v>
      </c>
      <c r="E31" s="25">
        <v>26941155</v>
      </c>
      <c r="F31" s="25">
        <v>127</v>
      </c>
      <c r="G31" s="25">
        <v>59292347</v>
      </c>
      <c r="H31" s="25">
        <v>47517299</v>
      </c>
      <c r="I31" s="25">
        <v>2726824</v>
      </c>
      <c r="J31" s="39">
        <v>3.9833333333333332E-2</v>
      </c>
    </row>
    <row r="32" spans="1:10" x14ac:dyDescent="0.2">
      <c r="A32" s="35" t="s">
        <v>50</v>
      </c>
      <c r="B32" s="24">
        <v>54</v>
      </c>
      <c r="C32" s="24">
        <v>401850000</v>
      </c>
      <c r="D32" s="24">
        <v>10</v>
      </c>
      <c r="E32" s="24">
        <v>109372200</v>
      </c>
      <c r="F32" s="24">
        <v>108</v>
      </c>
      <c r="G32" s="24">
        <v>693569574</v>
      </c>
      <c r="H32" s="24">
        <v>493013843</v>
      </c>
      <c r="I32" s="24">
        <v>49420964</v>
      </c>
      <c r="J32" s="38">
        <v>0.1002</v>
      </c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>
        <v>41</v>
      </c>
      <c r="C34" s="24">
        <v>207750000</v>
      </c>
      <c r="D34" s="24">
        <v>48</v>
      </c>
      <c r="E34" s="24">
        <v>271177502</v>
      </c>
      <c r="F34" s="24">
        <v>66</v>
      </c>
      <c r="G34" s="24">
        <v>346736168</v>
      </c>
      <c r="H34" s="24">
        <v>368483913</v>
      </c>
      <c r="I34" s="24">
        <v>41556600</v>
      </c>
      <c r="J34" s="38">
        <v>0.1128</v>
      </c>
    </row>
    <row r="35" spans="1:10" x14ac:dyDescent="0.2">
      <c r="A35" s="35" t="s">
        <v>52</v>
      </c>
      <c r="B35" s="24">
        <v>0</v>
      </c>
      <c r="C35" s="24">
        <v>0</v>
      </c>
      <c r="D35" s="24">
        <v>4</v>
      </c>
      <c r="E35" s="24">
        <v>20718205</v>
      </c>
      <c r="F35" s="24">
        <v>18</v>
      </c>
      <c r="G35" s="24">
        <v>69066673</v>
      </c>
      <c r="H35" s="24">
        <v>81276802</v>
      </c>
      <c r="I35" s="24">
        <v>10644836</v>
      </c>
      <c r="J35" s="38">
        <v>0.13100000000000001</v>
      </c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95</v>
      </c>
      <c r="C38" s="25">
        <v>609600000</v>
      </c>
      <c r="D38" s="25">
        <v>62</v>
      </c>
      <c r="E38" s="25">
        <v>401267907</v>
      </c>
      <c r="F38" s="25">
        <v>192</v>
      </c>
      <c r="G38" s="25">
        <v>1109372415</v>
      </c>
      <c r="H38" s="25">
        <v>942774558</v>
      </c>
      <c r="I38" s="25">
        <v>101622400</v>
      </c>
      <c r="J38" s="39">
        <v>0.11466666666666665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>
        <v>0</v>
      </c>
      <c r="C40" s="24">
        <v>0</v>
      </c>
      <c r="D40" s="24">
        <v>1</v>
      </c>
      <c r="E40" s="24">
        <v>953332</v>
      </c>
      <c r="F40" s="24">
        <v>1</v>
      </c>
      <c r="G40" s="24">
        <v>44128</v>
      </c>
      <c r="H40" s="24">
        <v>511694</v>
      </c>
      <c r="I40" s="24">
        <v>70958</v>
      </c>
      <c r="J40" s="38">
        <v>0.13869999999999999</v>
      </c>
    </row>
    <row r="41" spans="1:10" x14ac:dyDescent="0.2">
      <c r="A41" s="35" t="s">
        <v>53</v>
      </c>
      <c r="B41" s="24">
        <v>0</v>
      </c>
      <c r="C41" s="24">
        <v>0</v>
      </c>
      <c r="D41" s="24">
        <v>2</v>
      </c>
      <c r="E41" s="24">
        <v>2117595</v>
      </c>
      <c r="F41" s="24">
        <v>2</v>
      </c>
      <c r="G41" s="24">
        <v>768260</v>
      </c>
      <c r="H41" s="24">
        <v>1998646</v>
      </c>
      <c r="I41" s="24">
        <v>214745</v>
      </c>
      <c r="J41" s="38">
        <v>0.1074</v>
      </c>
    </row>
    <row r="42" spans="1:10" x14ac:dyDescent="0.2">
      <c r="A42" s="35" t="s">
        <v>54</v>
      </c>
      <c r="B42" s="24">
        <v>44</v>
      </c>
      <c r="C42" s="24">
        <v>13595000</v>
      </c>
      <c r="D42" s="24">
        <v>31</v>
      </c>
      <c r="E42" s="24">
        <v>10037316</v>
      </c>
      <c r="F42" s="24">
        <v>55</v>
      </c>
      <c r="G42" s="24">
        <v>14478904</v>
      </c>
      <c r="H42" s="24">
        <v>12678632</v>
      </c>
      <c r="I42" s="24">
        <v>1033813</v>
      </c>
      <c r="J42" s="38">
        <v>8.1500000000000003E-2</v>
      </c>
    </row>
    <row r="43" spans="1:10" x14ac:dyDescent="0.2">
      <c r="A43" s="35" t="s">
        <v>55</v>
      </c>
      <c r="B43" s="24">
        <v>65</v>
      </c>
      <c r="C43" s="24">
        <v>29476500</v>
      </c>
      <c r="D43" s="24">
        <v>49</v>
      </c>
      <c r="E43" s="24">
        <v>26841929</v>
      </c>
      <c r="F43" s="24">
        <v>24</v>
      </c>
      <c r="G43" s="24">
        <v>7446021</v>
      </c>
      <c r="H43" s="24">
        <v>13060715</v>
      </c>
      <c r="I43" s="24">
        <v>449907</v>
      </c>
      <c r="J43" s="38">
        <v>3.44E-2</v>
      </c>
    </row>
    <row r="44" spans="1:10" x14ac:dyDescent="0.2">
      <c r="A44" s="35" t="s">
        <v>56</v>
      </c>
      <c r="B44" s="24">
        <v>60</v>
      </c>
      <c r="C44" s="24">
        <v>56535000</v>
      </c>
      <c r="D44" s="24">
        <v>39</v>
      </c>
      <c r="E44" s="24">
        <v>51846532</v>
      </c>
      <c r="F44" s="24">
        <v>145</v>
      </c>
      <c r="G44" s="24">
        <v>134472820</v>
      </c>
      <c r="H44" s="24">
        <v>130194237</v>
      </c>
      <c r="I44" s="24">
        <v>12192044</v>
      </c>
      <c r="J44" s="38">
        <v>9.3600000000000003E-2</v>
      </c>
    </row>
    <row r="45" spans="1:10" x14ac:dyDescent="0.2">
      <c r="A45" s="35" t="s">
        <v>57</v>
      </c>
      <c r="B45" s="24">
        <v>49</v>
      </c>
      <c r="C45" s="24">
        <v>23920000</v>
      </c>
      <c r="D45" s="24">
        <v>49</v>
      </c>
      <c r="E45" s="24">
        <v>30780855</v>
      </c>
      <c r="F45" s="24">
        <v>103</v>
      </c>
      <c r="G45" s="24">
        <v>55396064</v>
      </c>
      <c r="H45" s="24">
        <v>58268993</v>
      </c>
      <c r="I45" s="24">
        <v>5291618</v>
      </c>
      <c r="J45" s="38">
        <v>9.0800000000000006E-2</v>
      </c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218</v>
      </c>
      <c r="C47" s="25">
        <v>123526500</v>
      </c>
      <c r="D47" s="25">
        <v>171</v>
      </c>
      <c r="E47" s="25">
        <v>122577559</v>
      </c>
      <c r="F47" s="25">
        <v>330</v>
      </c>
      <c r="G47" s="25">
        <v>212606197</v>
      </c>
      <c r="H47" s="25">
        <v>216712917</v>
      </c>
      <c r="I47" s="25">
        <v>19253085</v>
      </c>
      <c r="J47" s="39">
        <v>9.1066666666666671E-2</v>
      </c>
    </row>
    <row r="48" spans="1:10" x14ac:dyDescent="0.2">
      <c r="A48" s="35" t="s">
        <v>58</v>
      </c>
      <c r="B48" s="24">
        <v>4</v>
      </c>
      <c r="C48" s="24">
        <v>5340000</v>
      </c>
      <c r="D48" s="24">
        <v>10</v>
      </c>
      <c r="E48" s="24">
        <v>14941974</v>
      </c>
      <c r="F48" s="24">
        <v>32</v>
      </c>
      <c r="G48" s="24">
        <v>39001414</v>
      </c>
      <c r="H48" s="24">
        <v>42439367</v>
      </c>
      <c r="I48" s="24">
        <v>2704255</v>
      </c>
      <c r="J48" s="38">
        <v>6.3700000000000007E-2</v>
      </c>
    </row>
    <row r="49" spans="1:10" ht="24" x14ac:dyDescent="0.2">
      <c r="A49" s="35" t="s">
        <v>59</v>
      </c>
      <c r="B49" s="24">
        <v>0</v>
      </c>
      <c r="C49" s="24">
        <v>0</v>
      </c>
      <c r="D49" s="24">
        <v>0</v>
      </c>
      <c r="E49" s="24">
        <v>1565048</v>
      </c>
      <c r="F49" s="24">
        <v>3</v>
      </c>
      <c r="G49" s="24">
        <v>4554539</v>
      </c>
      <c r="H49" s="24">
        <v>5345169</v>
      </c>
      <c r="I49" s="24">
        <v>367936</v>
      </c>
      <c r="J49" s="38">
        <v>6.88E-2</v>
      </c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4</v>
      </c>
      <c r="C52" s="25">
        <v>5340000</v>
      </c>
      <c r="D52" s="25">
        <v>10</v>
      </c>
      <c r="E52" s="25">
        <v>16507022</v>
      </c>
      <c r="F52" s="25">
        <v>35</v>
      </c>
      <c r="G52" s="25">
        <v>43555953</v>
      </c>
      <c r="H52" s="25">
        <v>47784536</v>
      </c>
      <c r="I52" s="25">
        <v>3072191</v>
      </c>
      <c r="J52" s="39">
        <v>6.6250000000000003E-2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1293</v>
      </c>
      <c r="C63" s="40">
        <v>2937431321</v>
      </c>
      <c r="D63" s="40">
        <v>952</v>
      </c>
      <c r="E63" s="40">
        <v>2533160789</v>
      </c>
      <c r="F63" s="40">
        <v>4604</v>
      </c>
      <c r="G63" s="40">
        <v>7970472842</v>
      </c>
      <c r="H63" s="40">
        <v>7737210425</v>
      </c>
      <c r="I63" s="40">
        <v>727675828</v>
      </c>
      <c r="J63" s="41">
        <v>9.4048861027325625E-2</v>
      </c>
    </row>
  </sheetData>
  <phoneticPr fontId="2"/>
  <pageMargins left="0.7" right="0.7" top="0.75" bottom="0.75" header="0.3" footer="0.3"/>
  <pageSetup paperSize="9" scale="79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33A90-EC5D-4F71-9D5A-24474ADBD15C}">
  <sheetPr>
    <pageSetUpPr fitToPage="1"/>
  </sheetPr>
  <dimension ref="A1:J63"/>
  <sheetViews>
    <sheetView workbookViewId="0">
      <selection activeCell="C2" sqref="C2"/>
    </sheetView>
  </sheetViews>
  <sheetFormatPr defaultRowHeight="13" x14ac:dyDescent="0.2"/>
  <cols>
    <col min="1" max="1" width="15.81640625" style="33" customWidth="1"/>
    <col min="2" max="2" width="5.7265625" style="7" customWidth="1"/>
    <col min="3" max="3" width="13.36328125" style="7" customWidth="1"/>
    <col min="4" max="4" width="5.81640625" style="7" customWidth="1"/>
    <col min="5" max="5" width="13.6328125" style="7" bestFit="1" customWidth="1"/>
    <col min="6" max="6" width="6" style="7" customWidth="1"/>
    <col min="7" max="8" width="13.6328125" style="7" bestFit="1" customWidth="1"/>
    <col min="9" max="9" width="12.08984375" style="7" bestFit="1" customWidth="1"/>
    <col min="10" max="10" width="5.54296875" style="8" customWidth="1"/>
  </cols>
  <sheetData>
    <row r="1" spans="1:10" x14ac:dyDescent="0.2">
      <c r="A1" s="33" t="s">
        <v>0</v>
      </c>
      <c r="B1" s="6" t="s">
        <v>170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>
        <v>0</v>
      </c>
      <c r="C6" s="24">
        <v>0</v>
      </c>
      <c r="D6" s="24">
        <v>1</v>
      </c>
      <c r="E6" s="24">
        <v>464742</v>
      </c>
      <c r="F6" s="24">
        <v>1</v>
      </c>
      <c r="G6" s="24">
        <v>20228</v>
      </c>
      <c r="H6" s="24">
        <v>261957</v>
      </c>
      <c r="I6" s="24">
        <v>37360</v>
      </c>
      <c r="J6" s="38">
        <v>0.1426</v>
      </c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>
        <v>586</v>
      </c>
      <c r="C8" s="24">
        <v>1449080000</v>
      </c>
      <c r="D8" s="24">
        <v>492</v>
      </c>
      <c r="E8" s="24">
        <v>1415119058</v>
      </c>
      <c r="F8" s="24">
        <v>2702</v>
      </c>
      <c r="G8" s="24">
        <v>4466720136</v>
      </c>
      <c r="H8" s="24">
        <v>4473207995</v>
      </c>
      <c r="I8" s="24">
        <v>411987128</v>
      </c>
      <c r="J8" s="38">
        <v>9.2100000000000001E-2</v>
      </c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>
        <v>5</v>
      </c>
      <c r="C10" s="24">
        <v>14900000</v>
      </c>
      <c r="D10" s="24">
        <v>14</v>
      </c>
      <c r="E10" s="24">
        <v>29435772</v>
      </c>
      <c r="F10" s="24">
        <v>46</v>
      </c>
      <c r="G10" s="24">
        <v>62499437</v>
      </c>
      <c r="H10" s="24">
        <v>69614843</v>
      </c>
      <c r="I10" s="24">
        <v>7670452</v>
      </c>
      <c r="J10" s="38">
        <v>0.11020000000000001</v>
      </c>
    </row>
    <row r="11" spans="1:10" x14ac:dyDescent="0.2">
      <c r="A11" s="35" t="s">
        <v>37</v>
      </c>
      <c r="B11" s="24">
        <v>85</v>
      </c>
      <c r="C11" s="24">
        <v>236120000</v>
      </c>
      <c r="D11" s="24">
        <v>130</v>
      </c>
      <c r="E11" s="24">
        <v>413473494</v>
      </c>
      <c r="F11" s="24">
        <v>777</v>
      </c>
      <c r="G11" s="24">
        <v>1418283129</v>
      </c>
      <c r="H11" s="24">
        <v>1515461498</v>
      </c>
      <c r="I11" s="24">
        <v>141965453</v>
      </c>
      <c r="J11" s="38">
        <v>9.3700000000000006E-2</v>
      </c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>
        <v>45</v>
      </c>
      <c r="C14" s="24">
        <v>45520000</v>
      </c>
      <c r="D14" s="24">
        <v>52</v>
      </c>
      <c r="E14" s="24">
        <v>50348890</v>
      </c>
      <c r="F14" s="24">
        <v>164</v>
      </c>
      <c r="G14" s="24">
        <v>111242769</v>
      </c>
      <c r="H14" s="24">
        <v>111911514</v>
      </c>
      <c r="I14" s="24">
        <v>11436603</v>
      </c>
      <c r="J14" s="38">
        <v>0.1022</v>
      </c>
    </row>
    <row r="15" spans="1:10" x14ac:dyDescent="0.2">
      <c r="A15" s="35" t="s">
        <v>41</v>
      </c>
      <c r="B15" s="24">
        <v>17</v>
      </c>
      <c r="C15" s="24">
        <v>7840000</v>
      </c>
      <c r="D15" s="24">
        <v>20</v>
      </c>
      <c r="E15" s="24">
        <v>11495077</v>
      </c>
      <c r="F15" s="24">
        <v>39</v>
      </c>
      <c r="G15" s="24">
        <v>23550447</v>
      </c>
      <c r="H15" s="24">
        <v>27395449</v>
      </c>
      <c r="I15" s="24">
        <v>2905973</v>
      </c>
      <c r="J15" s="38">
        <v>0.1061</v>
      </c>
    </row>
    <row r="16" spans="1:10" x14ac:dyDescent="0.2">
      <c r="A16" s="35" t="s">
        <v>42</v>
      </c>
      <c r="B16" s="24">
        <v>37</v>
      </c>
      <c r="C16" s="24">
        <v>52680000</v>
      </c>
      <c r="D16" s="24">
        <v>47</v>
      </c>
      <c r="E16" s="24">
        <v>99079778</v>
      </c>
      <c r="F16" s="24">
        <v>210</v>
      </c>
      <c r="G16" s="24">
        <v>250052973</v>
      </c>
      <c r="H16" s="24">
        <v>278236189</v>
      </c>
      <c r="I16" s="24">
        <v>29440301</v>
      </c>
      <c r="J16" s="38">
        <v>0.10580000000000001</v>
      </c>
    </row>
    <row r="17" spans="1:10" x14ac:dyDescent="0.2">
      <c r="A17" s="36" t="s">
        <v>73</v>
      </c>
      <c r="B17" s="25">
        <v>775</v>
      </c>
      <c r="C17" s="25">
        <v>1806140000</v>
      </c>
      <c r="D17" s="25">
        <v>756</v>
      </c>
      <c r="E17" s="25">
        <v>2019416811</v>
      </c>
      <c r="F17" s="25">
        <v>3939</v>
      </c>
      <c r="G17" s="25">
        <v>6332369119</v>
      </c>
      <c r="H17" s="25">
        <v>6476089445</v>
      </c>
      <c r="I17" s="25">
        <v>605443270</v>
      </c>
      <c r="J17" s="39">
        <v>0.10752857142857143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>
        <v>6</v>
      </c>
      <c r="C19" s="24">
        <v>3550000</v>
      </c>
      <c r="D19" s="24">
        <v>0</v>
      </c>
      <c r="E19" s="24">
        <v>707788</v>
      </c>
      <c r="F19" s="24">
        <v>8</v>
      </c>
      <c r="G19" s="24">
        <v>4080025</v>
      </c>
      <c r="H19" s="24">
        <v>3182075</v>
      </c>
      <c r="I19" s="24">
        <v>247762</v>
      </c>
      <c r="J19" s="38">
        <v>7.7899999999999997E-2</v>
      </c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>
        <v>11</v>
      </c>
      <c r="C21" s="24">
        <v>12890000</v>
      </c>
      <c r="D21" s="24">
        <v>4</v>
      </c>
      <c r="E21" s="24">
        <v>4327250</v>
      </c>
      <c r="F21" s="24">
        <v>16</v>
      </c>
      <c r="G21" s="24">
        <v>17040291</v>
      </c>
      <c r="H21" s="24">
        <v>12204145</v>
      </c>
      <c r="I21" s="24">
        <v>1013159</v>
      </c>
      <c r="J21" s="38">
        <v>8.3000000000000004E-2</v>
      </c>
    </row>
    <row r="22" spans="1:10" x14ac:dyDescent="0.2">
      <c r="A22" s="35" t="s">
        <v>46</v>
      </c>
      <c r="B22" s="24">
        <v>1</v>
      </c>
      <c r="C22" s="24">
        <v>1100000</v>
      </c>
      <c r="D22" s="24">
        <v>0</v>
      </c>
      <c r="E22" s="24">
        <v>321006</v>
      </c>
      <c r="F22" s="24">
        <v>2</v>
      </c>
      <c r="G22" s="24">
        <v>2778994</v>
      </c>
      <c r="H22" s="24">
        <v>2113036</v>
      </c>
      <c r="I22" s="24">
        <v>160799</v>
      </c>
      <c r="J22" s="38">
        <v>7.6100000000000001E-2</v>
      </c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>
        <v>2</v>
      </c>
      <c r="C24" s="24">
        <v>1000000</v>
      </c>
      <c r="D24" s="24">
        <v>1</v>
      </c>
      <c r="E24" s="24">
        <v>653759</v>
      </c>
      <c r="F24" s="24">
        <v>2</v>
      </c>
      <c r="G24" s="24">
        <v>839524</v>
      </c>
      <c r="H24" s="24">
        <v>1009039</v>
      </c>
      <c r="I24" s="24">
        <v>85786</v>
      </c>
      <c r="J24" s="38">
        <v>8.5000000000000006E-2</v>
      </c>
    </row>
    <row r="25" spans="1:10" x14ac:dyDescent="0.2">
      <c r="A25" s="35" t="s">
        <v>49</v>
      </c>
      <c r="B25" s="24">
        <v>23</v>
      </c>
      <c r="C25" s="24">
        <v>12130000</v>
      </c>
      <c r="D25" s="24">
        <v>17</v>
      </c>
      <c r="E25" s="24">
        <v>15187788</v>
      </c>
      <c r="F25" s="24">
        <v>55</v>
      </c>
      <c r="G25" s="24">
        <v>26093206</v>
      </c>
      <c r="H25" s="24">
        <v>26093206</v>
      </c>
      <c r="I25" s="24">
        <v>1923693</v>
      </c>
      <c r="J25" s="38">
        <v>7.3700000000000002E-2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>
        <v>19</v>
      </c>
      <c r="C27" s="24">
        <v>10635000</v>
      </c>
      <c r="D27" s="24">
        <v>26</v>
      </c>
      <c r="E27" s="24">
        <v>11454448</v>
      </c>
      <c r="F27" s="24">
        <v>58</v>
      </c>
      <c r="G27" s="24">
        <v>17113268</v>
      </c>
      <c r="H27" s="24">
        <v>18672085</v>
      </c>
      <c r="I27" s="24">
        <v>1416585</v>
      </c>
      <c r="J27" s="38">
        <v>7.5899999999999995E-2</v>
      </c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62</v>
      </c>
      <c r="C31" s="25">
        <v>41305000</v>
      </c>
      <c r="D31" s="25">
        <v>48</v>
      </c>
      <c r="E31" s="25">
        <v>32652039</v>
      </c>
      <c r="F31" s="25">
        <v>141</v>
      </c>
      <c r="G31" s="25">
        <v>67945308</v>
      </c>
      <c r="H31" s="25">
        <v>63273586</v>
      </c>
      <c r="I31" s="25">
        <v>4847784</v>
      </c>
      <c r="J31" s="39">
        <v>7.8600000000000003E-2</v>
      </c>
    </row>
    <row r="32" spans="1:10" x14ac:dyDescent="0.2">
      <c r="A32" s="35" t="s">
        <v>50</v>
      </c>
      <c r="B32" s="24">
        <v>55</v>
      </c>
      <c r="C32" s="24">
        <v>391954282</v>
      </c>
      <c r="D32" s="24">
        <v>18</v>
      </c>
      <c r="E32" s="24">
        <v>179861492</v>
      </c>
      <c r="F32" s="24">
        <v>145</v>
      </c>
      <c r="G32" s="24">
        <v>905662364</v>
      </c>
      <c r="H32" s="24">
        <v>797516222</v>
      </c>
      <c r="I32" s="24">
        <v>78337525</v>
      </c>
      <c r="J32" s="38">
        <v>9.8199999999999996E-2</v>
      </c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>
        <v>29</v>
      </c>
      <c r="C34" s="24">
        <v>147270000</v>
      </c>
      <c r="D34" s="24">
        <v>52</v>
      </c>
      <c r="E34" s="24">
        <v>294635494</v>
      </c>
      <c r="F34" s="24">
        <v>43</v>
      </c>
      <c r="G34" s="24">
        <v>199370674</v>
      </c>
      <c r="H34" s="24">
        <v>289294283</v>
      </c>
      <c r="I34" s="24">
        <v>28986671</v>
      </c>
      <c r="J34" s="38">
        <v>0.1002</v>
      </c>
    </row>
    <row r="35" spans="1:10" x14ac:dyDescent="0.2">
      <c r="A35" s="35" t="s">
        <v>52</v>
      </c>
      <c r="B35" s="24">
        <v>0</v>
      </c>
      <c r="C35" s="24">
        <v>0</v>
      </c>
      <c r="D35" s="24">
        <v>4</v>
      </c>
      <c r="E35" s="24">
        <v>23282703</v>
      </c>
      <c r="F35" s="24">
        <v>14</v>
      </c>
      <c r="G35" s="24">
        <v>45783970</v>
      </c>
      <c r="H35" s="24">
        <v>56035387</v>
      </c>
      <c r="I35" s="24">
        <v>7390947</v>
      </c>
      <c r="J35" s="38">
        <v>0.13189999999999999</v>
      </c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84</v>
      </c>
      <c r="C38" s="25">
        <v>539224282</v>
      </c>
      <c r="D38" s="25">
        <v>74</v>
      </c>
      <c r="E38" s="25">
        <v>497779689</v>
      </c>
      <c r="F38" s="25">
        <v>202</v>
      </c>
      <c r="G38" s="25">
        <v>1150817008</v>
      </c>
      <c r="H38" s="25">
        <v>1142845892</v>
      </c>
      <c r="I38" s="25">
        <v>114715143</v>
      </c>
      <c r="J38" s="39">
        <v>0.11009999999999999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>
        <v>0</v>
      </c>
      <c r="C40" s="24">
        <v>0</v>
      </c>
      <c r="D40" s="24">
        <v>1</v>
      </c>
      <c r="E40" s="24">
        <v>44128</v>
      </c>
      <c r="F40" s="24">
        <v>0</v>
      </c>
      <c r="G40" s="24">
        <v>0</v>
      </c>
      <c r="H40" s="24">
        <v>3394</v>
      </c>
      <c r="I40" s="24">
        <v>645</v>
      </c>
      <c r="J40" s="38">
        <v>0.19</v>
      </c>
    </row>
    <row r="41" spans="1:10" x14ac:dyDescent="0.2">
      <c r="A41" s="35" t="s">
        <v>53</v>
      </c>
      <c r="B41" s="24">
        <v>0</v>
      </c>
      <c r="C41" s="24">
        <v>0</v>
      </c>
      <c r="D41" s="24">
        <v>1</v>
      </c>
      <c r="E41" s="24">
        <v>553133</v>
      </c>
      <c r="F41" s="24">
        <v>1</v>
      </c>
      <c r="G41" s="24">
        <v>215127</v>
      </c>
      <c r="H41" s="24">
        <v>475458</v>
      </c>
      <c r="I41" s="24">
        <v>48404</v>
      </c>
      <c r="J41" s="38">
        <v>0.1018</v>
      </c>
    </row>
    <row r="42" spans="1:10" x14ac:dyDescent="0.2">
      <c r="A42" s="35" t="s">
        <v>54</v>
      </c>
      <c r="B42" s="24">
        <v>47</v>
      </c>
      <c r="C42" s="24">
        <v>16995000</v>
      </c>
      <c r="D42" s="24">
        <v>28</v>
      </c>
      <c r="E42" s="24">
        <v>11326392</v>
      </c>
      <c r="F42" s="24">
        <v>74</v>
      </c>
      <c r="G42" s="24">
        <v>20147512</v>
      </c>
      <c r="H42" s="24">
        <v>16665207</v>
      </c>
      <c r="I42" s="24">
        <v>1385006</v>
      </c>
      <c r="J42" s="38">
        <v>8.3099999999999993E-2</v>
      </c>
    </row>
    <row r="43" spans="1:10" x14ac:dyDescent="0.2">
      <c r="A43" s="35" t="s">
        <v>55</v>
      </c>
      <c r="B43" s="24">
        <v>18</v>
      </c>
      <c r="C43" s="24">
        <v>6785000</v>
      </c>
      <c r="D43" s="24">
        <v>24</v>
      </c>
      <c r="E43" s="24">
        <v>7604285</v>
      </c>
      <c r="F43" s="24">
        <v>18</v>
      </c>
      <c r="G43" s="24">
        <v>6626736</v>
      </c>
      <c r="H43" s="24">
        <v>8111253</v>
      </c>
      <c r="I43" s="24">
        <v>269746</v>
      </c>
      <c r="J43" s="38">
        <v>3.3300000000000003E-2</v>
      </c>
    </row>
    <row r="44" spans="1:10" x14ac:dyDescent="0.2">
      <c r="A44" s="35" t="s">
        <v>56</v>
      </c>
      <c r="B44" s="24">
        <v>67</v>
      </c>
      <c r="C44" s="24">
        <v>74320000</v>
      </c>
      <c r="D44" s="24">
        <v>42</v>
      </c>
      <c r="E44" s="24">
        <v>51784130</v>
      </c>
      <c r="F44" s="24">
        <v>170</v>
      </c>
      <c r="G44" s="24">
        <v>157008690</v>
      </c>
      <c r="H44" s="24">
        <v>146704251</v>
      </c>
      <c r="I44" s="24">
        <v>13484942</v>
      </c>
      <c r="J44" s="38">
        <v>9.1899999999999996E-2</v>
      </c>
    </row>
    <row r="45" spans="1:10" x14ac:dyDescent="0.2">
      <c r="A45" s="35" t="s">
        <v>57</v>
      </c>
      <c r="B45" s="24">
        <v>54</v>
      </c>
      <c r="C45" s="24">
        <v>30670000</v>
      </c>
      <c r="D45" s="24">
        <v>44</v>
      </c>
      <c r="E45" s="24">
        <v>25557178</v>
      </c>
      <c r="F45" s="24">
        <v>113</v>
      </c>
      <c r="G45" s="24">
        <v>60508886</v>
      </c>
      <c r="H45" s="24">
        <v>56347932</v>
      </c>
      <c r="I45" s="24">
        <v>4764087</v>
      </c>
      <c r="J45" s="38">
        <v>8.4500000000000006E-2</v>
      </c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186</v>
      </c>
      <c r="C47" s="25">
        <v>128770000</v>
      </c>
      <c r="D47" s="25">
        <v>140</v>
      </c>
      <c r="E47" s="25">
        <v>96869246</v>
      </c>
      <c r="F47" s="25">
        <v>376</v>
      </c>
      <c r="G47" s="25">
        <v>244506951</v>
      </c>
      <c r="H47" s="25">
        <v>228307495</v>
      </c>
      <c r="I47" s="25">
        <v>19952830</v>
      </c>
      <c r="J47" s="39">
        <v>9.743333333333333E-2</v>
      </c>
    </row>
    <row r="48" spans="1:10" x14ac:dyDescent="0.2">
      <c r="A48" s="35" t="s">
        <v>58</v>
      </c>
      <c r="B48" s="24">
        <v>7</v>
      </c>
      <c r="C48" s="24">
        <v>13800000</v>
      </c>
      <c r="D48" s="24">
        <v>9</v>
      </c>
      <c r="E48" s="24">
        <v>13166081</v>
      </c>
      <c r="F48" s="24">
        <v>30</v>
      </c>
      <c r="G48" s="24">
        <v>39635333</v>
      </c>
      <c r="H48" s="24">
        <v>40101592</v>
      </c>
      <c r="I48" s="24">
        <v>2520740</v>
      </c>
      <c r="J48" s="38">
        <v>6.2899999999999998E-2</v>
      </c>
    </row>
    <row r="49" spans="1:10" ht="24" x14ac:dyDescent="0.2">
      <c r="A49" s="35" t="s">
        <v>59</v>
      </c>
      <c r="B49" s="24">
        <v>1</v>
      </c>
      <c r="C49" s="24">
        <v>1115077</v>
      </c>
      <c r="D49" s="24">
        <v>0</v>
      </c>
      <c r="E49" s="24">
        <v>1706252</v>
      </c>
      <c r="F49" s="24">
        <v>4</v>
      </c>
      <c r="G49" s="24">
        <v>3963364</v>
      </c>
      <c r="H49" s="24">
        <v>3979493</v>
      </c>
      <c r="I49" s="24">
        <v>273710</v>
      </c>
      <c r="J49" s="38">
        <v>6.88E-2</v>
      </c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8</v>
      </c>
      <c r="C52" s="25">
        <v>14915077</v>
      </c>
      <c r="D52" s="25">
        <v>9</v>
      </c>
      <c r="E52" s="25">
        <v>14872333</v>
      </c>
      <c r="F52" s="25">
        <v>34</v>
      </c>
      <c r="G52" s="25">
        <v>43598697</v>
      </c>
      <c r="H52" s="25">
        <v>44081085</v>
      </c>
      <c r="I52" s="25">
        <v>2794450</v>
      </c>
      <c r="J52" s="39">
        <v>6.5849999999999992E-2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1115</v>
      </c>
      <c r="C63" s="40">
        <v>2530354359</v>
      </c>
      <c r="D63" s="40">
        <v>1027</v>
      </c>
      <c r="E63" s="40">
        <v>2661590118</v>
      </c>
      <c r="F63" s="40">
        <v>4692</v>
      </c>
      <c r="G63" s="40">
        <v>7839237083</v>
      </c>
      <c r="H63" s="40">
        <v>7954597503</v>
      </c>
      <c r="I63" s="40">
        <v>747753477</v>
      </c>
      <c r="J63" s="41">
        <v>9.4002679169875272E-2</v>
      </c>
    </row>
  </sheetData>
  <phoneticPr fontId="2"/>
  <pageMargins left="0.7" right="0.7" top="0.75" bottom="0.75" header="0.3" footer="0.3"/>
  <pageSetup paperSize="9" scale="85" orientation="portrait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3CD04-3670-4386-B8DC-E51E125B5463}">
  <sheetPr>
    <pageSetUpPr fitToPage="1"/>
  </sheetPr>
  <dimension ref="A1:J63"/>
  <sheetViews>
    <sheetView workbookViewId="0">
      <selection activeCell="C7" sqref="C7"/>
    </sheetView>
  </sheetViews>
  <sheetFormatPr defaultRowHeight="13" x14ac:dyDescent="0.2"/>
  <cols>
    <col min="1" max="1" width="15.81640625" style="33" customWidth="1"/>
    <col min="2" max="2" width="6" style="7" customWidth="1"/>
    <col min="3" max="3" width="13.6328125" style="7" bestFit="1" customWidth="1"/>
    <col min="4" max="4" width="6" style="7" customWidth="1"/>
    <col min="5" max="5" width="13.6328125" style="7" bestFit="1" customWidth="1"/>
    <col min="6" max="6" width="5.90625" style="7" customWidth="1"/>
    <col min="7" max="7" width="12.7265625" style="7" customWidth="1"/>
    <col min="8" max="8" width="14.36328125" style="7" customWidth="1"/>
    <col min="9" max="9" width="12.7265625" style="7" customWidth="1"/>
    <col min="10" max="10" width="6.81640625" style="8" customWidth="1"/>
  </cols>
  <sheetData>
    <row r="1" spans="1:10" x14ac:dyDescent="0.2">
      <c r="A1" s="33" t="s">
        <v>0</v>
      </c>
      <c r="B1" s="6" t="s">
        <v>171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>
        <v>0</v>
      </c>
      <c r="C6" s="24">
        <v>0</v>
      </c>
      <c r="D6" s="24">
        <v>1</v>
      </c>
      <c r="E6" s="24">
        <v>20228</v>
      </c>
      <c r="F6" s="24">
        <v>0</v>
      </c>
      <c r="G6" s="24">
        <v>0</v>
      </c>
      <c r="H6" s="24">
        <v>1556</v>
      </c>
      <c r="I6" s="24">
        <v>182</v>
      </c>
      <c r="J6" s="38">
        <v>0.11700000000000001</v>
      </c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>
        <v>607</v>
      </c>
      <c r="C8" s="24">
        <v>1359470000</v>
      </c>
      <c r="D8" s="24">
        <v>505</v>
      </c>
      <c r="E8" s="24">
        <v>1432319470</v>
      </c>
      <c r="F8" s="24">
        <v>2804</v>
      </c>
      <c r="G8" s="24">
        <v>4393870666</v>
      </c>
      <c r="H8" s="24">
        <v>4452038112</v>
      </c>
      <c r="I8" s="24">
        <v>407447343</v>
      </c>
      <c r="J8" s="38">
        <v>9.1499999999999998E-2</v>
      </c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>
        <v>4</v>
      </c>
      <c r="C10" s="24">
        <v>11300000</v>
      </c>
      <c r="D10" s="24">
        <v>15</v>
      </c>
      <c r="E10" s="24">
        <v>22032036</v>
      </c>
      <c r="F10" s="24">
        <v>35</v>
      </c>
      <c r="G10" s="24">
        <v>51767401</v>
      </c>
      <c r="H10" s="24">
        <v>54015022</v>
      </c>
      <c r="I10" s="24">
        <v>5934979</v>
      </c>
      <c r="J10" s="38">
        <v>0.1099</v>
      </c>
    </row>
    <row r="11" spans="1:10" x14ac:dyDescent="0.2">
      <c r="A11" s="35" t="s">
        <v>37</v>
      </c>
      <c r="B11" s="24">
        <v>74</v>
      </c>
      <c r="C11" s="24">
        <v>208390000</v>
      </c>
      <c r="D11" s="24">
        <v>122</v>
      </c>
      <c r="E11" s="24">
        <v>376903932</v>
      </c>
      <c r="F11" s="24">
        <v>729</v>
      </c>
      <c r="G11" s="24">
        <v>1249769197</v>
      </c>
      <c r="H11" s="24">
        <v>1327200178</v>
      </c>
      <c r="I11" s="24">
        <v>124549782</v>
      </c>
      <c r="J11" s="38">
        <v>9.3799999999999994E-2</v>
      </c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>
        <v>47</v>
      </c>
      <c r="C14" s="24">
        <v>37580000</v>
      </c>
      <c r="D14" s="24">
        <v>46</v>
      </c>
      <c r="E14" s="24">
        <v>47752066</v>
      </c>
      <c r="F14" s="24">
        <v>165</v>
      </c>
      <c r="G14" s="24">
        <v>101070703</v>
      </c>
      <c r="H14" s="24">
        <v>108477383</v>
      </c>
      <c r="I14" s="24">
        <v>11212155</v>
      </c>
      <c r="J14" s="38">
        <v>0.10340000000000001</v>
      </c>
    </row>
    <row r="15" spans="1:10" x14ac:dyDescent="0.2">
      <c r="A15" s="35" t="s">
        <v>41</v>
      </c>
      <c r="B15" s="24">
        <v>11</v>
      </c>
      <c r="C15" s="24">
        <v>9440000</v>
      </c>
      <c r="D15" s="24">
        <v>9</v>
      </c>
      <c r="E15" s="24">
        <v>8625511</v>
      </c>
      <c r="F15" s="24">
        <v>41</v>
      </c>
      <c r="G15" s="24">
        <v>24364936</v>
      </c>
      <c r="H15" s="24">
        <v>23572874</v>
      </c>
      <c r="I15" s="24">
        <v>2407951</v>
      </c>
      <c r="J15" s="38">
        <v>0.1021</v>
      </c>
    </row>
    <row r="16" spans="1:10" x14ac:dyDescent="0.2">
      <c r="A16" s="35" t="s">
        <v>42</v>
      </c>
      <c r="B16" s="24">
        <v>24</v>
      </c>
      <c r="C16" s="24">
        <v>46750000</v>
      </c>
      <c r="D16" s="24">
        <v>50</v>
      </c>
      <c r="E16" s="24">
        <v>78382145</v>
      </c>
      <c r="F16" s="24">
        <v>184</v>
      </c>
      <c r="G16" s="24">
        <v>218420828</v>
      </c>
      <c r="H16" s="24">
        <v>235235401</v>
      </c>
      <c r="I16" s="24">
        <v>24574359</v>
      </c>
      <c r="J16" s="38">
        <v>0.1045</v>
      </c>
    </row>
    <row r="17" spans="1:10" x14ac:dyDescent="0.2">
      <c r="A17" s="36" t="s">
        <v>73</v>
      </c>
      <c r="B17" s="25">
        <v>767</v>
      </c>
      <c r="C17" s="25">
        <v>1672930000</v>
      </c>
      <c r="D17" s="25">
        <v>748</v>
      </c>
      <c r="E17" s="25">
        <v>1966035388</v>
      </c>
      <c r="F17" s="25">
        <v>3958</v>
      </c>
      <c r="G17" s="25">
        <v>6039263731</v>
      </c>
      <c r="H17" s="25">
        <v>6200540526</v>
      </c>
      <c r="I17" s="25">
        <v>576126751</v>
      </c>
      <c r="J17" s="39">
        <v>0.10317142857142858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>
        <v>4</v>
      </c>
      <c r="C19" s="24">
        <v>2700000</v>
      </c>
      <c r="D19" s="24">
        <v>1</v>
      </c>
      <c r="E19" s="24">
        <v>1296004</v>
      </c>
      <c r="F19" s="24">
        <v>11</v>
      </c>
      <c r="G19" s="24">
        <v>5484021</v>
      </c>
      <c r="H19" s="24">
        <v>4506546</v>
      </c>
      <c r="I19" s="24">
        <v>395862</v>
      </c>
      <c r="J19" s="38">
        <v>8.7800000000000003E-2</v>
      </c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>
        <v>13</v>
      </c>
      <c r="C21" s="24">
        <v>11110000</v>
      </c>
      <c r="D21" s="24">
        <v>3</v>
      </c>
      <c r="E21" s="24">
        <v>4921097</v>
      </c>
      <c r="F21" s="24">
        <v>26</v>
      </c>
      <c r="G21" s="24">
        <v>23229194</v>
      </c>
      <c r="H21" s="24">
        <v>17586747</v>
      </c>
      <c r="I21" s="24">
        <v>1529680</v>
      </c>
      <c r="J21" s="38">
        <v>8.6999999999999994E-2</v>
      </c>
    </row>
    <row r="22" spans="1:10" x14ac:dyDescent="0.2">
      <c r="A22" s="35" t="s">
        <v>46</v>
      </c>
      <c r="B22" s="24">
        <v>2</v>
      </c>
      <c r="C22" s="24">
        <v>2550000</v>
      </c>
      <c r="D22" s="24">
        <v>1</v>
      </c>
      <c r="E22" s="24">
        <v>1417277</v>
      </c>
      <c r="F22" s="24">
        <v>3</v>
      </c>
      <c r="G22" s="24">
        <v>3911717</v>
      </c>
      <c r="H22" s="24">
        <v>3455097</v>
      </c>
      <c r="I22" s="24">
        <v>294675</v>
      </c>
      <c r="J22" s="38">
        <v>8.5300000000000001E-2</v>
      </c>
    </row>
    <row r="23" spans="1:10" ht="24" x14ac:dyDescent="0.2">
      <c r="A23" s="35" t="s">
        <v>47</v>
      </c>
      <c r="B23" s="24"/>
      <c r="C23" s="24"/>
      <c r="D23" s="24"/>
      <c r="E23" s="24"/>
      <c r="F23" s="24"/>
      <c r="G23" s="24"/>
      <c r="H23" s="24"/>
      <c r="I23" s="24"/>
      <c r="J23" s="38"/>
    </row>
    <row r="24" spans="1:10" x14ac:dyDescent="0.2">
      <c r="A24" s="35" t="s">
        <v>48</v>
      </c>
      <c r="B24" s="24">
        <v>5</v>
      </c>
      <c r="C24" s="24">
        <v>1800000</v>
      </c>
      <c r="D24" s="24">
        <v>2</v>
      </c>
      <c r="E24" s="24">
        <v>1394198</v>
      </c>
      <c r="F24" s="24">
        <v>5</v>
      </c>
      <c r="G24" s="24">
        <v>1245326</v>
      </c>
      <c r="H24" s="24">
        <v>1176795</v>
      </c>
      <c r="I24" s="24">
        <v>101429</v>
      </c>
      <c r="J24" s="38">
        <v>8.6199999999999999E-2</v>
      </c>
    </row>
    <row r="25" spans="1:10" x14ac:dyDescent="0.2">
      <c r="A25" s="35" t="s">
        <v>49</v>
      </c>
      <c r="B25" s="24">
        <v>24</v>
      </c>
      <c r="C25" s="24">
        <v>16590000</v>
      </c>
      <c r="D25" s="24">
        <v>21</v>
      </c>
      <c r="E25" s="24">
        <v>12399168</v>
      </c>
      <c r="F25" s="24">
        <v>58</v>
      </c>
      <c r="G25" s="24">
        <v>30284038</v>
      </c>
      <c r="H25" s="24">
        <v>28284039</v>
      </c>
      <c r="I25" s="24">
        <v>2154432</v>
      </c>
      <c r="J25" s="38">
        <v>7.6200000000000004E-2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>
        <v>23</v>
      </c>
      <c r="C27" s="24">
        <v>9910000</v>
      </c>
      <c r="D27" s="24">
        <v>31</v>
      </c>
      <c r="E27" s="24">
        <v>11337659</v>
      </c>
      <c r="F27" s="24">
        <v>50</v>
      </c>
      <c r="G27" s="24">
        <v>15685609</v>
      </c>
      <c r="H27" s="24">
        <v>17106139</v>
      </c>
      <c r="I27" s="24">
        <v>1432663</v>
      </c>
      <c r="J27" s="38">
        <v>8.3799999999999999E-2</v>
      </c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71</v>
      </c>
      <c r="C31" s="25">
        <v>44660000</v>
      </c>
      <c r="D31" s="25">
        <v>59</v>
      </c>
      <c r="E31" s="25">
        <v>32765403</v>
      </c>
      <c r="F31" s="25">
        <v>153</v>
      </c>
      <c r="G31" s="25">
        <v>79839905</v>
      </c>
      <c r="H31" s="25">
        <v>72115363</v>
      </c>
      <c r="I31" s="25">
        <v>5908741</v>
      </c>
      <c r="J31" s="39">
        <v>8.4383333333333324E-2</v>
      </c>
    </row>
    <row r="32" spans="1:10" x14ac:dyDescent="0.2">
      <c r="A32" s="35" t="s">
        <v>50</v>
      </c>
      <c r="B32" s="24">
        <v>30</v>
      </c>
      <c r="C32" s="24">
        <v>216200000</v>
      </c>
      <c r="D32" s="24">
        <v>23</v>
      </c>
      <c r="E32" s="24">
        <v>193773785</v>
      </c>
      <c r="F32" s="24">
        <v>152</v>
      </c>
      <c r="G32" s="24">
        <v>928088579</v>
      </c>
      <c r="H32" s="24">
        <v>915321531</v>
      </c>
      <c r="I32" s="24">
        <v>86152870</v>
      </c>
      <c r="J32" s="38">
        <v>9.4100000000000003E-2</v>
      </c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>
        <v>1</v>
      </c>
      <c r="C34" s="24">
        <v>3000000</v>
      </c>
      <c r="D34" s="24">
        <v>15</v>
      </c>
      <c r="E34" s="24">
        <v>106657478</v>
      </c>
      <c r="F34" s="24">
        <v>29</v>
      </c>
      <c r="G34" s="24">
        <v>95713196</v>
      </c>
      <c r="H34" s="24">
        <v>141146216</v>
      </c>
      <c r="I34" s="24">
        <v>26642319</v>
      </c>
      <c r="J34" s="38">
        <v>0.1888</v>
      </c>
    </row>
    <row r="35" spans="1:10" x14ac:dyDescent="0.2">
      <c r="A35" s="35" t="s">
        <v>52</v>
      </c>
      <c r="B35" s="24">
        <v>0</v>
      </c>
      <c r="C35" s="24">
        <v>0</v>
      </c>
      <c r="D35" s="24">
        <v>3</v>
      </c>
      <c r="E35" s="24">
        <v>15748403</v>
      </c>
      <c r="F35" s="24">
        <v>11</v>
      </c>
      <c r="G35" s="24">
        <v>30035567</v>
      </c>
      <c r="H35" s="24">
        <v>38583162</v>
      </c>
      <c r="I35" s="24">
        <v>4837758</v>
      </c>
      <c r="J35" s="38">
        <v>0.12540000000000001</v>
      </c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31</v>
      </c>
      <c r="C38" s="25">
        <v>219200000</v>
      </c>
      <c r="D38" s="25">
        <v>41</v>
      </c>
      <c r="E38" s="25">
        <v>316179666</v>
      </c>
      <c r="F38" s="25">
        <v>192</v>
      </c>
      <c r="G38" s="25">
        <v>1053837342</v>
      </c>
      <c r="H38" s="25">
        <v>1095050909</v>
      </c>
      <c r="I38" s="25">
        <v>117632947</v>
      </c>
      <c r="J38" s="39">
        <v>0.1361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>
        <v>0</v>
      </c>
      <c r="C41" s="24">
        <v>0</v>
      </c>
      <c r="D41" s="24">
        <v>1</v>
      </c>
      <c r="E41" s="24">
        <v>215127</v>
      </c>
      <c r="F41" s="24">
        <v>0</v>
      </c>
      <c r="G41" s="24">
        <v>0</v>
      </c>
      <c r="H41" s="24">
        <v>49892</v>
      </c>
      <c r="I41" s="24">
        <v>5356</v>
      </c>
      <c r="J41" s="38">
        <v>0.1074</v>
      </c>
    </row>
    <row r="42" spans="1:10" x14ac:dyDescent="0.2">
      <c r="A42" s="35" t="s">
        <v>54</v>
      </c>
      <c r="B42" s="24">
        <v>30</v>
      </c>
      <c r="C42" s="24">
        <v>10400000</v>
      </c>
      <c r="D42" s="24">
        <v>48</v>
      </c>
      <c r="E42" s="24">
        <v>15529437</v>
      </c>
      <c r="F42" s="24">
        <v>56</v>
      </c>
      <c r="G42" s="24">
        <v>15018075</v>
      </c>
      <c r="H42" s="24">
        <v>17077278</v>
      </c>
      <c r="I42" s="24">
        <v>1460066</v>
      </c>
      <c r="J42" s="38">
        <v>8.5500000000000007E-2</v>
      </c>
    </row>
    <row r="43" spans="1:10" x14ac:dyDescent="0.2">
      <c r="A43" s="35" t="s">
        <v>55</v>
      </c>
      <c r="B43" s="24">
        <v>18</v>
      </c>
      <c r="C43" s="24">
        <v>2470000</v>
      </c>
      <c r="D43" s="24">
        <v>15</v>
      </c>
      <c r="E43" s="24">
        <v>5163230</v>
      </c>
      <c r="F43" s="24">
        <v>21</v>
      </c>
      <c r="G43" s="24">
        <v>3933506</v>
      </c>
      <c r="H43" s="24">
        <v>5283947</v>
      </c>
      <c r="I43" s="24">
        <v>176190</v>
      </c>
      <c r="J43" s="38">
        <v>3.3300000000000003E-2</v>
      </c>
    </row>
    <row r="44" spans="1:10" x14ac:dyDescent="0.2">
      <c r="A44" s="35" t="s">
        <v>56</v>
      </c>
      <c r="B44" s="24">
        <v>88</v>
      </c>
      <c r="C44" s="24">
        <v>85640000</v>
      </c>
      <c r="D44" s="24">
        <v>55</v>
      </c>
      <c r="E44" s="24">
        <v>65747278</v>
      </c>
      <c r="F44" s="24">
        <v>203</v>
      </c>
      <c r="G44" s="24">
        <v>176901412</v>
      </c>
      <c r="H44" s="24">
        <v>162434107</v>
      </c>
      <c r="I44" s="24">
        <v>15051799</v>
      </c>
      <c r="J44" s="38">
        <v>9.2700000000000005E-2</v>
      </c>
    </row>
    <row r="45" spans="1:10" x14ac:dyDescent="0.2">
      <c r="A45" s="35" t="s">
        <v>57</v>
      </c>
      <c r="B45" s="24">
        <v>41</v>
      </c>
      <c r="C45" s="24">
        <v>23230000</v>
      </c>
      <c r="D45" s="24">
        <v>49</v>
      </c>
      <c r="E45" s="24">
        <v>30332616</v>
      </c>
      <c r="F45" s="24">
        <v>105</v>
      </c>
      <c r="G45" s="24">
        <v>53406270</v>
      </c>
      <c r="H45" s="24">
        <v>57193231</v>
      </c>
      <c r="I45" s="24">
        <v>4725101</v>
      </c>
      <c r="J45" s="38">
        <v>8.2600000000000007E-2</v>
      </c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177</v>
      </c>
      <c r="C47" s="25">
        <v>121740000</v>
      </c>
      <c r="D47" s="25">
        <v>168</v>
      </c>
      <c r="E47" s="25">
        <v>116987688</v>
      </c>
      <c r="F47" s="25">
        <v>385</v>
      </c>
      <c r="G47" s="25">
        <v>249259263</v>
      </c>
      <c r="H47" s="25">
        <v>242038455</v>
      </c>
      <c r="I47" s="25">
        <v>21418512</v>
      </c>
      <c r="J47" s="39">
        <v>8.030000000000001E-2</v>
      </c>
    </row>
    <row r="48" spans="1:10" x14ac:dyDescent="0.2">
      <c r="A48" s="35" t="s">
        <v>58</v>
      </c>
      <c r="B48" s="24">
        <v>10</v>
      </c>
      <c r="C48" s="24">
        <v>20710000</v>
      </c>
      <c r="D48" s="24">
        <v>15</v>
      </c>
      <c r="E48" s="24">
        <v>20238625</v>
      </c>
      <c r="F48" s="24">
        <v>25</v>
      </c>
      <c r="G48" s="24">
        <v>40106708</v>
      </c>
      <c r="H48" s="24">
        <v>40196945</v>
      </c>
      <c r="I48" s="24">
        <v>2464017</v>
      </c>
      <c r="J48" s="38">
        <v>6.13E-2</v>
      </c>
    </row>
    <row r="49" spans="1:10" ht="24" x14ac:dyDescent="0.2">
      <c r="A49" s="35" t="s">
        <v>59</v>
      </c>
      <c r="B49" s="24">
        <v>2</v>
      </c>
      <c r="C49" s="24">
        <v>2370000</v>
      </c>
      <c r="D49" s="24">
        <v>2</v>
      </c>
      <c r="E49" s="24">
        <v>2665667</v>
      </c>
      <c r="F49" s="24">
        <v>4</v>
      </c>
      <c r="G49" s="24">
        <v>3667697</v>
      </c>
      <c r="H49" s="24">
        <v>3348497</v>
      </c>
      <c r="I49" s="24">
        <v>224255</v>
      </c>
      <c r="J49" s="38">
        <v>6.7000000000000004E-2</v>
      </c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12</v>
      </c>
      <c r="C52" s="25">
        <v>23080000</v>
      </c>
      <c r="D52" s="25">
        <v>17</v>
      </c>
      <c r="E52" s="25">
        <v>22904292</v>
      </c>
      <c r="F52" s="25">
        <v>29</v>
      </c>
      <c r="G52" s="25">
        <v>43774405</v>
      </c>
      <c r="H52" s="25">
        <v>43545442</v>
      </c>
      <c r="I52" s="25">
        <v>2688272</v>
      </c>
      <c r="J52" s="39">
        <v>6.4149999999999999E-2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1058</v>
      </c>
      <c r="C63" s="40">
        <v>2081610000</v>
      </c>
      <c r="D63" s="40">
        <v>1033</v>
      </c>
      <c r="E63" s="40">
        <v>2454872437</v>
      </c>
      <c r="F63" s="40">
        <v>4717</v>
      </c>
      <c r="G63" s="40">
        <v>7465974646</v>
      </c>
      <c r="H63" s="40">
        <v>7653290695</v>
      </c>
      <c r="I63" s="40">
        <v>723775223</v>
      </c>
      <c r="J63" s="41">
        <v>9.4570460190784633E-2</v>
      </c>
    </row>
  </sheetData>
  <phoneticPr fontId="2"/>
  <pageMargins left="0.7" right="0.7" top="0.75" bottom="0.75" header="0.3" footer="0.3"/>
  <pageSetup paperSize="9" scale="83" orientation="portrait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09676-4B47-4FD2-9406-969FCFDDC908}">
  <sheetPr>
    <pageSetUpPr fitToPage="1"/>
  </sheetPr>
  <dimension ref="A1:J63"/>
  <sheetViews>
    <sheetView workbookViewId="0">
      <selection activeCell="I13" sqref="I13"/>
    </sheetView>
  </sheetViews>
  <sheetFormatPr defaultRowHeight="13" x14ac:dyDescent="0.2"/>
  <cols>
    <col min="1" max="1" width="15.81640625" style="33" customWidth="1"/>
    <col min="2" max="2" width="9.08984375" style="7"/>
    <col min="3" max="3" width="13.6328125" style="7" bestFit="1" customWidth="1"/>
    <col min="4" max="4" width="9.08984375" style="7"/>
    <col min="5" max="5" width="13.6328125" style="7" bestFit="1" customWidth="1"/>
    <col min="6" max="6" width="9.08984375" style="7"/>
    <col min="7" max="8" width="13.6328125" style="7" bestFit="1" customWidth="1"/>
    <col min="9" max="9" width="12.08984375" style="7" bestFit="1" customWidth="1"/>
    <col min="10" max="10" width="9.08984375" style="8"/>
  </cols>
  <sheetData>
    <row r="1" spans="1:10" x14ac:dyDescent="0.2">
      <c r="A1" s="33" t="s">
        <v>0</v>
      </c>
      <c r="B1" s="6" t="s">
        <v>172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>
        <v>643</v>
      </c>
      <c r="C8" s="24">
        <v>1358014000</v>
      </c>
      <c r="D8" s="24">
        <v>635</v>
      </c>
      <c r="E8" s="24">
        <v>1555750696</v>
      </c>
      <c r="F8" s="24">
        <v>2812</v>
      </c>
      <c r="G8" s="24">
        <v>4196133970</v>
      </c>
      <c r="H8" s="24">
        <v>4311808213</v>
      </c>
      <c r="I8" s="24">
        <v>393358881</v>
      </c>
      <c r="J8" s="38">
        <v>9.1200000000000003E-2</v>
      </c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>
        <v>2</v>
      </c>
      <c r="C10" s="24">
        <v>5100000</v>
      </c>
      <c r="D10" s="24">
        <v>12</v>
      </c>
      <c r="E10" s="24">
        <v>15316843</v>
      </c>
      <c r="F10" s="24">
        <v>25</v>
      </c>
      <c r="G10" s="24">
        <v>41550558</v>
      </c>
      <c r="H10" s="24">
        <v>45002327</v>
      </c>
      <c r="I10" s="24">
        <v>4720031</v>
      </c>
      <c r="J10" s="38">
        <v>0.10489999999999999</v>
      </c>
    </row>
    <row r="11" spans="1:10" x14ac:dyDescent="0.2">
      <c r="A11" s="35" t="s">
        <v>37</v>
      </c>
      <c r="B11" s="24">
        <v>105</v>
      </c>
      <c r="C11" s="24">
        <v>254810000</v>
      </c>
      <c r="D11" s="24">
        <v>127</v>
      </c>
      <c r="E11" s="24">
        <v>320399630</v>
      </c>
      <c r="F11" s="24">
        <v>707</v>
      </c>
      <c r="G11" s="24">
        <v>1184179567</v>
      </c>
      <c r="H11" s="24">
        <v>1189886859</v>
      </c>
      <c r="I11" s="24">
        <v>110653616</v>
      </c>
      <c r="J11" s="38">
        <v>9.2999999999999999E-2</v>
      </c>
    </row>
    <row r="12" spans="1:10" x14ac:dyDescent="0.2">
      <c r="A12" s="35" t="s">
        <v>38</v>
      </c>
      <c r="B12" s="24"/>
      <c r="C12" s="24"/>
      <c r="D12" s="24"/>
      <c r="E12" s="24"/>
      <c r="F12" s="24"/>
      <c r="G12" s="24"/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>
        <v>2</v>
      </c>
      <c r="C14" s="24">
        <v>1160000</v>
      </c>
      <c r="D14" s="24">
        <v>67</v>
      </c>
      <c r="E14" s="24">
        <v>42600243</v>
      </c>
      <c r="F14" s="24">
        <v>100</v>
      </c>
      <c r="G14" s="24">
        <v>59630460</v>
      </c>
      <c r="H14" s="24">
        <v>78765142</v>
      </c>
      <c r="I14" s="24">
        <v>8168472</v>
      </c>
      <c r="J14" s="38">
        <v>0.1037</v>
      </c>
    </row>
    <row r="15" spans="1:10" x14ac:dyDescent="0.2">
      <c r="A15" s="35" t="s">
        <v>41</v>
      </c>
      <c r="B15" s="24"/>
      <c r="C15" s="24">
        <v>0</v>
      </c>
      <c r="D15" s="24">
        <v>17</v>
      </c>
      <c r="E15" s="24">
        <v>8268303</v>
      </c>
      <c r="F15" s="24">
        <v>24</v>
      </c>
      <c r="G15" s="24">
        <v>16096633</v>
      </c>
      <c r="H15" s="24">
        <v>18555512</v>
      </c>
      <c r="I15" s="24">
        <v>2118890</v>
      </c>
      <c r="J15" s="38">
        <v>0.1142</v>
      </c>
    </row>
    <row r="16" spans="1:10" x14ac:dyDescent="0.2">
      <c r="A16" s="35" t="s">
        <v>42</v>
      </c>
      <c r="B16" s="24"/>
      <c r="C16" s="24">
        <v>0</v>
      </c>
      <c r="D16" s="24">
        <v>51</v>
      </c>
      <c r="E16" s="24">
        <v>63902791</v>
      </c>
      <c r="F16" s="24">
        <v>133</v>
      </c>
      <c r="G16" s="24">
        <v>154518037</v>
      </c>
      <c r="H16" s="24">
        <v>182881579</v>
      </c>
      <c r="I16" s="24">
        <v>19256338</v>
      </c>
      <c r="J16" s="38">
        <v>0.1053</v>
      </c>
    </row>
    <row r="17" spans="1:10" x14ac:dyDescent="0.2">
      <c r="A17" s="36" t="s">
        <v>73</v>
      </c>
      <c r="B17" s="25">
        <v>752</v>
      </c>
      <c r="C17" s="25">
        <v>1619084000</v>
      </c>
      <c r="D17" s="25">
        <v>909</v>
      </c>
      <c r="E17" s="25">
        <v>2006238506</v>
      </c>
      <c r="F17" s="25">
        <v>3801</v>
      </c>
      <c r="G17" s="25">
        <v>5652109225</v>
      </c>
      <c r="H17" s="25">
        <v>5826899632</v>
      </c>
      <c r="I17" s="25">
        <v>538276228</v>
      </c>
      <c r="J17" s="39">
        <v>0.10205000000000002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>
        <v>0</v>
      </c>
      <c r="C19" s="24">
        <v>0</v>
      </c>
      <c r="D19" s="24">
        <v>6</v>
      </c>
      <c r="E19" s="24">
        <v>3137878</v>
      </c>
      <c r="F19" s="24">
        <v>5</v>
      </c>
      <c r="G19" s="24">
        <v>2346143</v>
      </c>
      <c r="H19" s="24">
        <v>4209290</v>
      </c>
      <c r="I19" s="24">
        <v>371178</v>
      </c>
      <c r="J19" s="38">
        <v>8.8200000000000001E-2</v>
      </c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>
        <v>0</v>
      </c>
      <c r="C21" s="24">
        <v>0</v>
      </c>
      <c r="D21" s="24">
        <v>6</v>
      </c>
      <c r="E21" s="24">
        <v>6508707</v>
      </c>
      <c r="F21" s="24">
        <v>20</v>
      </c>
      <c r="G21" s="24">
        <v>16720487</v>
      </c>
      <c r="H21" s="24">
        <v>19909236</v>
      </c>
      <c r="I21" s="24">
        <v>1943256</v>
      </c>
      <c r="J21" s="38">
        <v>9.7600000000000006E-2</v>
      </c>
    </row>
    <row r="22" spans="1:10" x14ac:dyDescent="0.2">
      <c r="A22" s="35" t="s">
        <v>46</v>
      </c>
      <c r="B22" s="24">
        <v>0</v>
      </c>
      <c r="C22" s="24">
        <v>0</v>
      </c>
      <c r="D22" s="24">
        <v>0</v>
      </c>
      <c r="E22" s="24">
        <v>890426</v>
      </c>
      <c r="F22" s="24">
        <v>3</v>
      </c>
      <c r="G22" s="24">
        <v>3021291</v>
      </c>
      <c r="H22" s="24">
        <v>3472487</v>
      </c>
      <c r="I22" s="24">
        <v>313822</v>
      </c>
      <c r="J22" s="38">
        <v>9.0399999999999994E-2</v>
      </c>
    </row>
    <row r="23" spans="1:10" ht="24" x14ac:dyDescent="0.2">
      <c r="A23" s="35" t="s">
        <v>47</v>
      </c>
      <c r="B23" s="24">
        <v>211</v>
      </c>
      <c r="C23" s="24">
        <v>142393000</v>
      </c>
      <c r="D23" s="24">
        <v>18</v>
      </c>
      <c r="E23" s="24">
        <v>24066208</v>
      </c>
      <c r="F23" s="24">
        <v>193</v>
      </c>
      <c r="G23" s="24">
        <v>118326792</v>
      </c>
      <c r="H23" s="24">
        <v>57373638</v>
      </c>
      <c r="I23" s="24">
        <v>6044647</v>
      </c>
      <c r="J23" s="38">
        <v>0.10539999999999999</v>
      </c>
    </row>
    <row r="24" spans="1:10" x14ac:dyDescent="0.2">
      <c r="A24" s="35" t="s">
        <v>48</v>
      </c>
      <c r="B24" s="24">
        <v>0</v>
      </c>
      <c r="C24" s="24">
        <v>0</v>
      </c>
      <c r="D24" s="24">
        <v>2</v>
      </c>
      <c r="E24" s="24">
        <v>689628</v>
      </c>
      <c r="F24" s="24">
        <v>3</v>
      </c>
      <c r="G24" s="24">
        <v>555698</v>
      </c>
      <c r="H24" s="24">
        <v>850690</v>
      </c>
      <c r="I24" s="24">
        <v>74010</v>
      </c>
      <c r="J24" s="38">
        <v>8.6999999999999994E-2</v>
      </c>
    </row>
    <row r="25" spans="1:10" x14ac:dyDescent="0.2">
      <c r="A25" s="35" t="s">
        <v>49</v>
      </c>
      <c r="B25" s="24">
        <v>0</v>
      </c>
      <c r="C25" s="24">
        <v>0</v>
      </c>
      <c r="D25" s="24">
        <v>18</v>
      </c>
      <c r="E25" s="24">
        <v>11572595</v>
      </c>
      <c r="F25" s="24">
        <v>40</v>
      </c>
      <c r="G25" s="24">
        <v>18711443</v>
      </c>
      <c r="H25" s="24">
        <v>24026835</v>
      </c>
      <c r="I25" s="24">
        <v>2101452</v>
      </c>
      <c r="J25" s="38">
        <v>8.7499999999999994E-2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>
        <v>1</v>
      </c>
      <c r="C27" s="24">
        <v>700000</v>
      </c>
      <c r="D27" s="24">
        <v>19</v>
      </c>
      <c r="E27" s="24">
        <v>5935890</v>
      </c>
      <c r="F27" s="24">
        <v>32</v>
      </c>
      <c r="G27" s="24">
        <v>10449719</v>
      </c>
      <c r="H27" s="24">
        <v>13066431</v>
      </c>
      <c r="I27" s="24">
        <v>1197552</v>
      </c>
      <c r="J27" s="38">
        <v>9.1700000000000004E-2</v>
      </c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212</v>
      </c>
      <c r="C31" s="25">
        <v>143093000</v>
      </c>
      <c r="D31" s="25">
        <v>69</v>
      </c>
      <c r="E31" s="25">
        <v>52801332</v>
      </c>
      <c r="F31" s="25">
        <v>296</v>
      </c>
      <c r="G31" s="25">
        <v>170131573</v>
      </c>
      <c r="H31" s="25">
        <v>122908607</v>
      </c>
      <c r="I31" s="25">
        <v>12045917</v>
      </c>
      <c r="J31" s="39">
        <v>9.2542857142857149E-2</v>
      </c>
    </row>
    <row r="32" spans="1:10" x14ac:dyDescent="0.2">
      <c r="A32" s="35" t="s">
        <v>50</v>
      </c>
      <c r="B32" s="24">
        <v>16</v>
      </c>
      <c r="C32" s="24">
        <v>108050000</v>
      </c>
      <c r="D32" s="24">
        <v>14</v>
      </c>
      <c r="E32" s="24">
        <v>162391994</v>
      </c>
      <c r="F32" s="24">
        <v>154</v>
      </c>
      <c r="G32" s="24">
        <v>873746585</v>
      </c>
      <c r="H32" s="24">
        <v>896871609</v>
      </c>
      <c r="I32" s="24">
        <v>78521826</v>
      </c>
      <c r="J32" s="38">
        <v>8.7599999999999997E-2</v>
      </c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>
        <v>1</v>
      </c>
      <c r="C34" s="24">
        <v>3000000</v>
      </c>
      <c r="D34" s="24">
        <v>10</v>
      </c>
      <c r="E34" s="24">
        <v>34611102</v>
      </c>
      <c r="F34" s="24">
        <v>20</v>
      </c>
      <c r="G34" s="24">
        <v>64102094</v>
      </c>
      <c r="H34" s="24">
        <v>81678400</v>
      </c>
      <c r="I34" s="24">
        <v>6470396</v>
      </c>
      <c r="J34" s="38">
        <v>7.9200000000000007E-2</v>
      </c>
    </row>
    <row r="35" spans="1:10" x14ac:dyDescent="0.2">
      <c r="A35" s="35" t="s">
        <v>52</v>
      </c>
      <c r="B35" s="24">
        <v>0</v>
      </c>
      <c r="C35" s="24">
        <v>0</v>
      </c>
      <c r="D35" s="24">
        <v>3</v>
      </c>
      <c r="E35" s="24">
        <v>12247233</v>
      </c>
      <c r="F35" s="24">
        <v>8</v>
      </c>
      <c r="G35" s="24">
        <v>17788334</v>
      </c>
      <c r="H35" s="24">
        <v>23687889</v>
      </c>
      <c r="I35" s="24">
        <v>2949179</v>
      </c>
      <c r="J35" s="38">
        <v>0.1245</v>
      </c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17</v>
      </c>
      <c r="C38" s="25">
        <v>111050000</v>
      </c>
      <c r="D38" s="25">
        <v>27</v>
      </c>
      <c r="E38" s="25">
        <v>209250329</v>
      </c>
      <c r="F38" s="25">
        <v>182</v>
      </c>
      <c r="G38" s="25">
        <v>955637013</v>
      </c>
      <c r="H38" s="25">
        <v>1002237898</v>
      </c>
      <c r="I38" s="25">
        <v>87941401</v>
      </c>
      <c r="J38" s="39">
        <v>9.7100000000000006E-2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>
        <v>192</v>
      </c>
      <c r="C41" s="24">
        <v>161066000</v>
      </c>
      <c r="D41" s="24">
        <v>14</v>
      </c>
      <c r="E41" s="24">
        <v>19570758</v>
      </c>
      <c r="F41" s="24">
        <v>178</v>
      </c>
      <c r="G41" s="24">
        <v>141495242</v>
      </c>
      <c r="H41" s="24">
        <v>72574674</v>
      </c>
      <c r="I41" s="24">
        <v>5875948</v>
      </c>
      <c r="J41" s="38">
        <v>8.1000000000000003E-2</v>
      </c>
    </row>
    <row r="42" spans="1:10" x14ac:dyDescent="0.2">
      <c r="A42" s="35" t="s">
        <v>54</v>
      </c>
      <c r="B42" s="24">
        <v>0</v>
      </c>
      <c r="C42" s="24">
        <v>0</v>
      </c>
      <c r="D42" s="24">
        <v>27</v>
      </c>
      <c r="E42" s="24">
        <v>8575163</v>
      </c>
      <c r="F42" s="24">
        <v>29</v>
      </c>
      <c r="G42" s="24">
        <v>6442912</v>
      </c>
      <c r="H42" s="24">
        <v>10152454</v>
      </c>
      <c r="I42" s="24">
        <v>924300</v>
      </c>
      <c r="J42" s="38">
        <v>9.0999999999999998E-2</v>
      </c>
    </row>
    <row r="43" spans="1:10" x14ac:dyDescent="0.2">
      <c r="A43" s="35" t="s">
        <v>55</v>
      </c>
      <c r="B43" s="24">
        <v>0</v>
      </c>
      <c r="C43" s="24">
        <v>0</v>
      </c>
      <c r="D43" s="24">
        <v>12</v>
      </c>
      <c r="E43" s="24">
        <v>2567332</v>
      </c>
      <c r="F43" s="24">
        <v>9</v>
      </c>
      <c r="G43" s="24">
        <v>1366174</v>
      </c>
      <c r="H43" s="24">
        <v>2443085</v>
      </c>
      <c r="I43" s="24">
        <v>78909</v>
      </c>
      <c r="J43" s="38">
        <v>3.2300000000000002E-2</v>
      </c>
    </row>
    <row r="44" spans="1:10" x14ac:dyDescent="0.2">
      <c r="A44" s="35" t="s">
        <v>56</v>
      </c>
      <c r="B44" s="24">
        <v>1</v>
      </c>
      <c r="C44" s="24">
        <v>800000</v>
      </c>
      <c r="D44" s="24">
        <v>62</v>
      </c>
      <c r="E44" s="24">
        <v>61799135</v>
      </c>
      <c r="F44" s="24">
        <v>142</v>
      </c>
      <c r="G44" s="24">
        <v>115902277</v>
      </c>
      <c r="H44" s="24">
        <v>143917286</v>
      </c>
      <c r="I44" s="24">
        <v>13563955</v>
      </c>
      <c r="J44" s="38">
        <v>9.4200000000000006E-2</v>
      </c>
    </row>
    <row r="45" spans="1:10" x14ac:dyDescent="0.2">
      <c r="A45" s="35" t="s">
        <v>57</v>
      </c>
      <c r="B45" s="24">
        <v>0</v>
      </c>
      <c r="C45" s="24">
        <v>0</v>
      </c>
      <c r="D45" s="24">
        <v>39</v>
      </c>
      <c r="E45" s="24">
        <v>22108439</v>
      </c>
      <c r="F45" s="24">
        <v>66</v>
      </c>
      <c r="G45" s="24">
        <v>31297831</v>
      </c>
      <c r="H45" s="24">
        <v>41775113</v>
      </c>
      <c r="I45" s="24">
        <v>3636173</v>
      </c>
      <c r="J45" s="38">
        <v>8.6999999999999994E-2</v>
      </c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193</v>
      </c>
      <c r="C47" s="25">
        <v>161866000</v>
      </c>
      <c r="D47" s="25">
        <v>154</v>
      </c>
      <c r="E47" s="25">
        <v>114620827</v>
      </c>
      <c r="F47" s="25">
        <v>424</v>
      </c>
      <c r="G47" s="25">
        <v>296504436</v>
      </c>
      <c r="H47" s="25">
        <v>270862612</v>
      </c>
      <c r="I47" s="25">
        <v>24079285</v>
      </c>
      <c r="J47" s="39">
        <v>7.7099999999999988E-2</v>
      </c>
    </row>
    <row r="48" spans="1:10" x14ac:dyDescent="0.2">
      <c r="A48" s="35" t="s">
        <v>58</v>
      </c>
      <c r="B48" s="24">
        <v>4</v>
      </c>
      <c r="C48" s="24">
        <v>10520000</v>
      </c>
      <c r="D48" s="24">
        <v>5</v>
      </c>
      <c r="E48" s="24">
        <v>11287523</v>
      </c>
      <c r="F48" s="24">
        <v>24</v>
      </c>
      <c r="G48" s="24">
        <v>39339185</v>
      </c>
      <c r="H48" s="24">
        <v>37672638</v>
      </c>
      <c r="I48" s="24">
        <v>2307262</v>
      </c>
      <c r="J48" s="38">
        <v>6.1199999999999997E-2</v>
      </c>
    </row>
    <row r="49" spans="1:10" ht="24" x14ac:dyDescent="0.2">
      <c r="A49" s="35" t="s">
        <v>59</v>
      </c>
      <c r="B49" s="24">
        <v>0</v>
      </c>
      <c r="C49" s="24">
        <v>0</v>
      </c>
      <c r="D49" s="24">
        <v>2</v>
      </c>
      <c r="E49" s="24">
        <v>1881105</v>
      </c>
      <c r="F49" s="24">
        <v>2</v>
      </c>
      <c r="G49" s="24">
        <v>1786592</v>
      </c>
      <c r="H49" s="24">
        <v>2629425</v>
      </c>
      <c r="I49" s="24">
        <v>183562</v>
      </c>
      <c r="J49" s="38">
        <v>6.9800000000000001E-2</v>
      </c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4</v>
      </c>
      <c r="C52" s="25">
        <v>10520000</v>
      </c>
      <c r="D52" s="25">
        <v>7</v>
      </c>
      <c r="E52" s="25">
        <v>13168628</v>
      </c>
      <c r="F52" s="25">
        <v>26</v>
      </c>
      <c r="G52" s="25">
        <v>41125777</v>
      </c>
      <c r="H52" s="25">
        <v>40302063</v>
      </c>
      <c r="I52" s="25">
        <v>2490824</v>
      </c>
      <c r="J52" s="39">
        <v>6.5500000000000003E-2</v>
      </c>
    </row>
    <row r="53" spans="1:10" x14ac:dyDescent="0.2">
      <c r="A53" s="35" t="s">
        <v>60</v>
      </c>
      <c r="B53" s="24"/>
      <c r="C53" s="24"/>
      <c r="D53" s="24"/>
      <c r="E53" s="24"/>
      <c r="F53" s="24"/>
      <c r="G53" s="24"/>
      <c r="H53" s="24"/>
      <c r="I53" s="24"/>
      <c r="J53" s="38"/>
    </row>
    <row r="54" spans="1:10" x14ac:dyDescent="0.2">
      <c r="A54" s="36" t="s">
        <v>73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39" t="s">
        <v>184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1178</v>
      </c>
      <c r="C63" s="40">
        <v>2045613000</v>
      </c>
      <c r="D63" s="40">
        <v>1166</v>
      </c>
      <c r="E63" s="40">
        <v>2396079622</v>
      </c>
      <c r="F63" s="40">
        <v>4729</v>
      </c>
      <c r="G63" s="40">
        <v>7115508024</v>
      </c>
      <c r="H63" s="40">
        <v>7263210812</v>
      </c>
      <c r="I63" s="40">
        <v>664833655</v>
      </c>
      <c r="J63" s="41">
        <v>9.1534401548911015E-2</v>
      </c>
    </row>
  </sheetData>
  <phoneticPr fontId="2"/>
  <pageMargins left="0.7" right="0.7" top="0.75" bottom="0.75" header="0.3" footer="0.3"/>
  <pageSetup paperSize="9" scale="74"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B0CB6-3AD7-472F-9505-D8AF30BBC6E2}">
  <sheetPr>
    <pageSetUpPr fitToPage="1"/>
  </sheetPr>
  <dimension ref="A1:J63"/>
  <sheetViews>
    <sheetView workbookViewId="0">
      <selection activeCell="A2" sqref="A2"/>
    </sheetView>
  </sheetViews>
  <sheetFormatPr defaultRowHeight="13" x14ac:dyDescent="0.2"/>
  <cols>
    <col min="1" max="1" width="15.81640625" style="33" customWidth="1"/>
    <col min="2" max="2" width="9.08984375" style="7"/>
    <col min="3" max="3" width="14" style="7" customWidth="1"/>
    <col min="4" max="4" width="9.08984375" style="7"/>
    <col min="5" max="5" width="13.6328125" style="7" bestFit="1" customWidth="1"/>
    <col min="6" max="6" width="9.08984375" style="7"/>
    <col min="7" max="8" width="13.6328125" style="7" bestFit="1" customWidth="1"/>
    <col min="9" max="9" width="12.08984375" style="7" bestFit="1" customWidth="1"/>
    <col min="10" max="10" width="9.08984375" style="8"/>
  </cols>
  <sheetData>
    <row r="1" spans="1:10" x14ac:dyDescent="0.2">
      <c r="A1" s="33" t="s">
        <v>0</v>
      </c>
      <c r="B1" s="6" t="s">
        <v>173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>
        <v>431</v>
      </c>
      <c r="C8" s="24">
        <v>806799175</v>
      </c>
      <c r="D8" s="24">
        <v>545</v>
      </c>
      <c r="E8" s="24">
        <v>1375271418</v>
      </c>
      <c r="F8" s="24">
        <v>2698</v>
      </c>
      <c r="G8" s="24">
        <v>3627661727</v>
      </c>
      <c r="H8" s="24">
        <v>3905024524</v>
      </c>
      <c r="I8" s="24">
        <v>358794297</v>
      </c>
      <c r="J8" s="38">
        <v>9.1899999999999996E-2</v>
      </c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>
        <v>2</v>
      </c>
      <c r="C10" s="24">
        <v>8500000</v>
      </c>
      <c r="D10" s="24">
        <v>7</v>
      </c>
      <c r="E10" s="24">
        <v>18380760</v>
      </c>
      <c r="F10" s="24">
        <v>20</v>
      </c>
      <c r="G10" s="24">
        <v>31669798</v>
      </c>
      <c r="H10" s="24">
        <v>36712207</v>
      </c>
      <c r="I10" s="24">
        <v>3838616</v>
      </c>
      <c r="J10" s="38">
        <v>0.1046</v>
      </c>
    </row>
    <row r="11" spans="1:10" x14ac:dyDescent="0.2">
      <c r="A11" s="35" t="s">
        <v>37</v>
      </c>
      <c r="B11" s="24">
        <v>49</v>
      </c>
      <c r="C11" s="24">
        <v>122280694</v>
      </c>
      <c r="D11" s="24">
        <v>123</v>
      </c>
      <c r="E11" s="24">
        <v>355382186</v>
      </c>
      <c r="F11" s="24">
        <v>633</v>
      </c>
      <c r="G11" s="24">
        <v>951078075</v>
      </c>
      <c r="H11" s="24">
        <v>1058837972</v>
      </c>
      <c r="I11" s="24">
        <v>98624026</v>
      </c>
      <c r="J11" s="38">
        <v>9.3100000000000002E-2</v>
      </c>
    </row>
    <row r="12" spans="1:10" x14ac:dyDescent="0.2">
      <c r="A12" s="35" t="s">
        <v>38</v>
      </c>
      <c r="B12" s="24">
        <v>6</v>
      </c>
      <c r="C12" s="24">
        <v>1060000</v>
      </c>
      <c r="D12" s="24">
        <v>0</v>
      </c>
      <c r="E12" s="24"/>
      <c r="F12" s="24">
        <v>6</v>
      </c>
      <c r="G12" s="24">
        <v>1060000</v>
      </c>
      <c r="H12" s="24"/>
      <c r="I12" s="24"/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>
        <v>0</v>
      </c>
      <c r="C14" s="24">
        <v>0</v>
      </c>
      <c r="D14" s="24">
        <v>37</v>
      </c>
      <c r="E14" s="24">
        <v>28259746</v>
      </c>
      <c r="F14" s="24">
        <v>63</v>
      </c>
      <c r="G14" s="24">
        <v>31370714</v>
      </c>
      <c r="H14" s="24">
        <v>43296334</v>
      </c>
      <c r="I14" s="24">
        <v>4401113</v>
      </c>
      <c r="J14" s="38">
        <v>0.1017</v>
      </c>
    </row>
    <row r="15" spans="1:10" x14ac:dyDescent="0.2">
      <c r="A15" s="35" t="s">
        <v>41</v>
      </c>
      <c r="B15" s="24">
        <v>0</v>
      </c>
      <c r="C15" s="24">
        <v>0</v>
      </c>
      <c r="D15" s="24">
        <v>7</v>
      </c>
      <c r="E15" s="24">
        <v>5648310</v>
      </c>
      <c r="F15" s="24">
        <v>17</v>
      </c>
      <c r="G15" s="24">
        <v>10448323</v>
      </c>
      <c r="H15" s="24">
        <v>13531276</v>
      </c>
      <c r="I15" s="24">
        <v>1472329</v>
      </c>
      <c r="J15" s="38">
        <v>0.10879999999999999</v>
      </c>
    </row>
    <row r="16" spans="1:10" x14ac:dyDescent="0.2">
      <c r="A16" s="35" t="s">
        <v>42</v>
      </c>
      <c r="B16" s="24">
        <v>0</v>
      </c>
      <c r="C16" s="24">
        <v>0</v>
      </c>
      <c r="D16" s="24">
        <v>37</v>
      </c>
      <c r="E16" s="24">
        <v>44897129</v>
      </c>
      <c r="F16" s="24">
        <v>96</v>
      </c>
      <c r="G16" s="24">
        <v>109620908</v>
      </c>
      <c r="H16" s="24">
        <v>130724381</v>
      </c>
      <c r="I16" s="24">
        <v>13687289</v>
      </c>
      <c r="J16" s="38">
        <v>0.1047</v>
      </c>
    </row>
    <row r="17" spans="1:10" x14ac:dyDescent="0.2">
      <c r="A17" s="36" t="s">
        <v>73</v>
      </c>
      <c r="B17" s="25">
        <v>488</v>
      </c>
      <c r="C17" s="25">
        <v>938639869</v>
      </c>
      <c r="D17" s="25">
        <v>756</v>
      </c>
      <c r="E17" s="25">
        <v>1827839549</v>
      </c>
      <c r="F17" s="25">
        <v>3533</v>
      </c>
      <c r="G17" s="25">
        <v>4762909545</v>
      </c>
      <c r="H17" s="25">
        <v>5188126694</v>
      </c>
      <c r="I17" s="25">
        <v>480817670</v>
      </c>
      <c r="J17" s="39">
        <v>0.1008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>
        <v>0</v>
      </c>
      <c r="C19" s="24">
        <v>0</v>
      </c>
      <c r="D19" s="24">
        <v>0</v>
      </c>
      <c r="E19" s="24">
        <v>835096</v>
      </c>
      <c r="F19" s="24">
        <v>5</v>
      </c>
      <c r="G19" s="24">
        <v>1511047</v>
      </c>
      <c r="H19" s="24">
        <v>1956857</v>
      </c>
      <c r="I19" s="24">
        <v>193152</v>
      </c>
      <c r="J19" s="38">
        <v>9.8699999999999996E-2</v>
      </c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>
        <v>31</v>
      </c>
      <c r="C21" s="24">
        <v>24060000</v>
      </c>
      <c r="D21" s="24">
        <v>5</v>
      </c>
      <c r="E21" s="24">
        <v>7853401</v>
      </c>
      <c r="F21" s="24">
        <v>46</v>
      </c>
      <c r="G21" s="24">
        <v>32927086</v>
      </c>
      <c r="H21" s="24">
        <v>20647665</v>
      </c>
      <c r="I21" s="24">
        <v>1689921</v>
      </c>
      <c r="J21" s="38">
        <v>8.1799999999999998E-2</v>
      </c>
    </row>
    <row r="22" spans="1:10" x14ac:dyDescent="0.2">
      <c r="A22" s="35" t="s">
        <v>46</v>
      </c>
      <c r="B22" s="24">
        <v>0</v>
      </c>
      <c r="C22" s="24">
        <v>0</v>
      </c>
      <c r="D22" s="24">
        <v>1</v>
      </c>
      <c r="E22" s="24">
        <v>1375416</v>
      </c>
      <c r="F22" s="24">
        <v>2</v>
      </c>
      <c r="G22" s="24">
        <v>1645875</v>
      </c>
      <c r="H22" s="24">
        <v>2022116</v>
      </c>
      <c r="I22" s="24">
        <v>189815</v>
      </c>
      <c r="J22" s="38">
        <v>9.3899999999999997E-2</v>
      </c>
    </row>
    <row r="23" spans="1:10" ht="24" x14ac:dyDescent="0.2">
      <c r="A23" s="35" t="s">
        <v>47</v>
      </c>
      <c r="B23" s="24">
        <v>165</v>
      </c>
      <c r="C23" s="24">
        <v>74645610</v>
      </c>
      <c r="D23" s="24">
        <v>72</v>
      </c>
      <c r="E23" s="24">
        <v>50806260</v>
      </c>
      <c r="F23" s="24">
        <v>286</v>
      </c>
      <c r="G23" s="24">
        <v>142166142</v>
      </c>
      <c r="H23" s="24">
        <v>135154892</v>
      </c>
      <c r="I23" s="24">
        <v>15644182</v>
      </c>
      <c r="J23" s="38">
        <v>0.1158</v>
      </c>
    </row>
    <row r="24" spans="1:10" x14ac:dyDescent="0.2">
      <c r="A24" s="35" t="s">
        <v>48</v>
      </c>
      <c r="B24" s="24">
        <v>0</v>
      </c>
      <c r="C24" s="24">
        <v>0</v>
      </c>
      <c r="D24" s="24">
        <v>2</v>
      </c>
      <c r="E24" s="24">
        <v>447522</v>
      </c>
      <c r="F24" s="24">
        <v>1</v>
      </c>
      <c r="G24" s="24">
        <v>108176</v>
      </c>
      <c r="H24" s="24">
        <v>233913</v>
      </c>
      <c r="I24" s="24">
        <v>23950</v>
      </c>
      <c r="J24" s="38">
        <v>0.1024</v>
      </c>
    </row>
    <row r="25" spans="1:10" x14ac:dyDescent="0.2">
      <c r="A25" s="35" t="s">
        <v>49</v>
      </c>
      <c r="B25" s="24">
        <v>60</v>
      </c>
      <c r="C25" s="24">
        <v>63680000</v>
      </c>
      <c r="D25" s="24">
        <v>13</v>
      </c>
      <c r="E25" s="24">
        <v>12715946</v>
      </c>
      <c r="F25" s="24">
        <v>87</v>
      </c>
      <c r="G25" s="24">
        <v>69675497</v>
      </c>
      <c r="H25" s="24">
        <v>44424693</v>
      </c>
      <c r="I25" s="24">
        <v>3570825</v>
      </c>
      <c r="J25" s="38">
        <v>8.0399999999999999E-2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>
        <v>0</v>
      </c>
      <c r="C27" s="24">
        <v>0</v>
      </c>
      <c r="D27" s="24">
        <v>5</v>
      </c>
      <c r="E27" s="24">
        <v>5006397</v>
      </c>
      <c r="F27" s="24">
        <v>27</v>
      </c>
      <c r="G27" s="24">
        <v>5443322</v>
      </c>
      <c r="H27" s="24">
        <v>7940121</v>
      </c>
      <c r="I27" s="24">
        <v>762523</v>
      </c>
      <c r="J27" s="38">
        <v>9.6000000000000002E-2</v>
      </c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256</v>
      </c>
      <c r="C31" s="25">
        <v>162385610</v>
      </c>
      <c r="D31" s="25">
        <v>98</v>
      </c>
      <c r="E31" s="25">
        <v>79040038</v>
      </c>
      <c r="F31" s="25">
        <v>454</v>
      </c>
      <c r="G31" s="25">
        <v>253477145</v>
      </c>
      <c r="H31" s="25">
        <v>212380257</v>
      </c>
      <c r="I31" s="25">
        <v>22074368</v>
      </c>
      <c r="J31" s="39">
        <v>9.5571428571428557E-2</v>
      </c>
    </row>
    <row r="32" spans="1:10" x14ac:dyDescent="0.2">
      <c r="A32" s="35" t="s">
        <v>50</v>
      </c>
      <c r="B32" s="24">
        <v>7</v>
      </c>
      <c r="C32" s="24">
        <v>50150000</v>
      </c>
      <c r="D32" s="24">
        <v>10</v>
      </c>
      <c r="E32" s="24">
        <v>124225855</v>
      </c>
      <c r="F32" s="24">
        <v>151</v>
      </c>
      <c r="G32" s="24">
        <v>799670730</v>
      </c>
      <c r="H32" s="24">
        <v>839794191</v>
      </c>
      <c r="I32" s="24">
        <v>67909795</v>
      </c>
      <c r="J32" s="38">
        <v>8.09E-2</v>
      </c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>
        <v>0</v>
      </c>
      <c r="C34" s="24">
        <v>0</v>
      </c>
      <c r="D34" s="24">
        <v>5</v>
      </c>
      <c r="E34" s="24">
        <v>5316958</v>
      </c>
      <c r="F34" s="24">
        <v>15</v>
      </c>
      <c r="G34" s="24">
        <v>58785136</v>
      </c>
      <c r="H34" s="24">
        <v>61127248</v>
      </c>
      <c r="I34" s="24">
        <v>2057967</v>
      </c>
      <c r="J34" s="38">
        <v>3.3700000000000001E-2</v>
      </c>
    </row>
    <row r="35" spans="1:10" x14ac:dyDescent="0.2">
      <c r="A35" s="35" t="s">
        <v>52</v>
      </c>
      <c r="B35" s="24">
        <v>0</v>
      </c>
      <c r="C35" s="24">
        <v>0</v>
      </c>
      <c r="D35" s="24">
        <v>3</v>
      </c>
      <c r="E35" s="24">
        <v>6572277</v>
      </c>
      <c r="F35" s="24">
        <v>5</v>
      </c>
      <c r="G35" s="24">
        <v>11216057</v>
      </c>
      <c r="H35" s="24">
        <v>13758610</v>
      </c>
      <c r="I35" s="24">
        <v>1772168</v>
      </c>
      <c r="J35" s="38">
        <v>0.1288</v>
      </c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7</v>
      </c>
      <c r="C38" s="25">
        <v>50150000</v>
      </c>
      <c r="D38" s="25">
        <v>18</v>
      </c>
      <c r="E38" s="25">
        <v>136115090</v>
      </c>
      <c r="F38" s="25">
        <v>171</v>
      </c>
      <c r="G38" s="25">
        <v>869671923</v>
      </c>
      <c r="H38" s="25">
        <v>914680049</v>
      </c>
      <c r="I38" s="25">
        <v>71739930</v>
      </c>
      <c r="J38" s="39">
        <v>8.1133333333333335E-2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>
        <v>114</v>
      </c>
      <c r="C41" s="24">
        <v>55940000</v>
      </c>
      <c r="D41" s="24">
        <v>59</v>
      </c>
      <c r="E41" s="24">
        <v>52742750</v>
      </c>
      <c r="F41" s="24">
        <v>233</v>
      </c>
      <c r="G41" s="24">
        <v>144692492</v>
      </c>
      <c r="H41" s="24">
        <v>143551182</v>
      </c>
      <c r="I41" s="24">
        <v>13566312</v>
      </c>
      <c r="J41" s="38">
        <v>9.4500000000000001E-2</v>
      </c>
    </row>
    <row r="42" spans="1:10" x14ac:dyDescent="0.2">
      <c r="A42" s="35" t="s">
        <v>54</v>
      </c>
      <c r="B42" s="24">
        <v>0</v>
      </c>
      <c r="C42" s="24">
        <v>0</v>
      </c>
      <c r="D42" s="24">
        <v>13</v>
      </c>
      <c r="E42" s="24">
        <v>3809102</v>
      </c>
      <c r="F42" s="24">
        <v>16</v>
      </c>
      <c r="G42" s="24">
        <v>2633810</v>
      </c>
      <c r="H42" s="24">
        <v>4394933</v>
      </c>
      <c r="I42" s="24">
        <v>369719</v>
      </c>
      <c r="J42" s="38">
        <v>8.4099999999999994E-2</v>
      </c>
    </row>
    <row r="43" spans="1:10" x14ac:dyDescent="0.2">
      <c r="A43" s="35" t="s">
        <v>55</v>
      </c>
      <c r="B43" s="24"/>
      <c r="C43" s="24"/>
      <c r="D43" s="24">
        <v>5</v>
      </c>
      <c r="E43" s="24">
        <v>1013173</v>
      </c>
      <c r="F43" s="24">
        <v>4</v>
      </c>
      <c r="G43" s="24">
        <v>353001</v>
      </c>
      <c r="H43" s="24">
        <v>804369</v>
      </c>
      <c r="I43" s="24">
        <v>24610</v>
      </c>
      <c r="J43" s="38">
        <v>3.0599999999999999E-2</v>
      </c>
    </row>
    <row r="44" spans="1:10" x14ac:dyDescent="0.2">
      <c r="A44" s="35" t="s">
        <v>56</v>
      </c>
      <c r="B44" s="24"/>
      <c r="C44" s="24"/>
      <c r="D44" s="24">
        <v>37</v>
      </c>
      <c r="E44" s="24">
        <v>41125983</v>
      </c>
      <c r="F44" s="24">
        <v>105</v>
      </c>
      <c r="G44" s="24">
        <v>74776294</v>
      </c>
      <c r="H44" s="24">
        <v>96332553</v>
      </c>
      <c r="I44" s="24">
        <v>9459225</v>
      </c>
      <c r="J44" s="38">
        <v>9.8199999999999996E-2</v>
      </c>
    </row>
    <row r="45" spans="1:10" x14ac:dyDescent="0.2">
      <c r="A45" s="35" t="s">
        <v>57</v>
      </c>
      <c r="B45" s="24"/>
      <c r="C45" s="24"/>
      <c r="D45" s="24">
        <v>26</v>
      </c>
      <c r="E45" s="24">
        <v>13496531</v>
      </c>
      <c r="F45" s="24">
        <v>40</v>
      </c>
      <c r="G45" s="24">
        <v>17801300</v>
      </c>
      <c r="H45" s="24">
        <v>25177958</v>
      </c>
      <c r="I45" s="24">
        <v>2189327</v>
      </c>
      <c r="J45" s="38">
        <v>8.6999999999999994E-2</v>
      </c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114</v>
      </c>
      <c r="C47" s="25">
        <v>55940000</v>
      </c>
      <c r="D47" s="25">
        <v>140</v>
      </c>
      <c r="E47" s="25">
        <v>112187539</v>
      </c>
      <c r="F47" s="25">
        <v>398</v>
      </c>
      <c r="G47" s="25">
        <v>240256897</v>
      </c>
      <c r="H47" s="25">
        <v>270260995</v>
      </c>
      <c r="I47" s="25">
        <v>25609193</v>
      </c>
      <c r="J47" s="39">
        <v>7.8879999999999992E-2</v>
      </c>
    </row>
    <row r="48" spans="1:10" x14ac:dyDescent="0.2">
      <c r="A48" s="35" t="s">
        <v>58</v>
      </c>
      <c r="B48" s="24">
        <v>2</v>
      </c>
      <c r="C48" s="24">
        <v>1160000</v>
      </c>
      <c r="D48" s="24">
        <v>5</v>
      </c>
      <c r="E48" s="24">
        <v>9907373</v>
      </c>
      <c r="F48" s="24">
        <v>21</v>
      </c>
      <c r="G48" s="24">
        <v>30591812</v>
      </c>
      <c r="H48" s="24">
        <v>34349574</v>
      </c>
      <c r="I48" s="24">
        <v>2184734</v>
      </c>
      <c r="J48" s="38">
        <v>6.3600000000000004E-2</v>
      </c>
    </row>
    <row r="49" spans="1:10" ht="24" x14ac:dyDescent="0.2">
      <c r="A49" s="35" t="s">
        <v>59</v>
      </c>
      <c r="B49" s="24"/>
      <c r="C49" s="24"/>
      <c r="D49" s="24">
        <v>0</v>
      </c>
      <c r="E49" s="24">
        <v>1046615</v>
      </c>
      <c r="F49" s="24">
        <v>2</v>
      </c>
      <c r="G49" s="24">
        <v>739977</v>
      </c>
      <c r="H49" s="24">
        <v>1268706</v>
      </c>
      <c r="I49" s="24">
        <v>89257</v>
      </c>
      <c r="J49" s="38">
        <v>7.0400000000000004E-2</v>
      </c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2</v>
      </c>
      <c r="C52" s="25">
        <v>1160000</v>
      </c>
      <c r="D52" s="25">
        <v>5</v>
      </c>
      <c r="E52" s="25">
        <v>10953988</v>
      </c>
      <c r="F52" s="25">
        <v>23</v>
      </c>
      <c r="G52" s="25">
        <v>31331789</v>
      </c>
      <c r="H52" s="25">
        <v>35618280</v>
      </c>
      <c r="I52" s="25">
        <v>2273991</v>
      </c>
      <c r="J52" s="39">
        <v>6.7000000000000004E-2</v>
      </c>
    </row>
    <row r="53" spans="1:10" x14ac:dyDescent="0.2">
      <c r="A53" s="35" t="s">
        <v>60</v>
      </c>
      <c r="B53" s="24">
        <v>8</v>
      </c>
      <c r="C53" s="24">
        <v>10410000</v>
      </c>
      <c r="D53" s="24">
        <v>0</v>
      </c>
      <c r="E53" s="24">
        <v>108898</v>
      </c>
      <c r="F53" s="24">
        <v>8</v>
      </c>
      <c r="G53" s="24">
        <v>10301102</v>
      </c>
      <c r="H53" s="24">
        <v>1946366</v>
      </c>
      <c r="I53" s="24">
        <v>55683</v>
      </c>
      <c r="J53" s="38">
        <v>2.86E-2</v>
      </c>
    </row>
    <row r="54" spans="1:10" x14ac:dyDescent="0.2">
      <c r="A54" s="36" t="s">
        <v>73</v>
      </c>
      <c r="B54" s="25">
        <v>8</v>
      </c>
      <c r="C54" s="25">
        <v>10410000</v>
      </c>
      <c r="D54" s="25">
        <v>0</v>
      </c>
      <c r="E54" s="25">
        <v>108898</v>
      </c>
      <c r="F54" s="25">
        <v>8</v>
      </c>
      <c r="G54" s="25">
        <v>10301102</v>
      </c>
      <c r="H54" s="25">
        <v>1946366</v>
      </c>
      <c r="I54" s="25">
        <v>55683</v>
      </c>
      <c r="J54" s="39">
        <v>2.86E-2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875</v>
      </c>
      <c r="C63" s="40">
        <v>1218685479</v>
      </c>
      <c r="D63" s="40">
        <v>1017</v>
      </c>
      <c r="E63" s="40">
        <v>2166245102</v>
      </c>
      <c r="F63" s="40">
        <v>4587</v>
      </c>
      <c r="G63" s="40">
        <v>6167948401</v>
      </c>
      <c r="H63" s="40">
        <v>6623012641</v>
      </c>
      <c r="I63" s="40">
        <v>602570835</v>
      </c>
      <c r="J63" s="41">
        <v>9.0981380779762283E-2</v>
      </c>
    </row>
  </sheetData>
  <phoneticPr fontId="2"/>
  <pageMargins left="0.7" right="0.7" top="0.75" bottom="0.75" header="0.3" footer="0.3"/>
  <pageSetup paperSize="9" scale="74"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50E6A-E19E-47D1-A278-1E2FD4C46D69}">
  <sheetPr>
    <pageSetUpPr fitToPage="1"/>
  </sheetPr>
  <dimension ref="A1:J63"/>
  <sheetViews>
    <sheetView workbookViewId="0"/>
  </sheetViews>
  <sheetFormatPr defaultRowHeight="13" x14ac:dyDescent="0.2"/>
  <cols>
    <col min="1" max="1" width="15.81640625" style="33" customWidth="1"/>
    <col min="2" max="2" width="9.08984375" style="7"/>
    <col min="3" max="3" width="13.7265625" style="7" customWidth="1"/>
    <col min="4" max="4" width="9.08984375" style="7"/>
    <col min="5" max="5" width="13.6328125" style="7" bestFit="1" customWidth="1"/>
    <col min="6" max="6" width="9.08984375" style="7"/>
    <col min="7" max="8" width="13.6328125" style="7" bestFit="1" customWidth="1"/>
    <col min="9" max="9" width="12.08984375" style="7" bestFit="1" customWidth="1"/>
    <col min="10" max="10" width="9.08984375" style="8"/>
  </cols>
  <sheetData>
    <row r="1" spans="1:10" x14ac:dyDescent="0.2">
      <c r="A1" s="33" t="s">
        <v>0</v>
      </c>
      <c r="B1" s="6" t="s">
        <v>174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>
        <v>395</v>
      </c>
      <c r="C8" s="24">
        <v>772440000</v>
      </c>
      <c r="D8" s="24">
        <v>657</v>
      </c>
      <c r="E8" s="24">
        <v>1271779580</v>
      </c>
      <c r="F8" s="24">
        <v>2436</v>
      </c>
      <c r="G8" s="24">
        <v>3128322147</v>
      </c>
      <c r="H8" s="24">
        <v>3389205324</v>
      </c>
      <c r="I8" s="24">
        <v>309524549</v>
      </c>
      <c r="J8" s="38">
        <v>9.1300000000000006E-2</v>
      </c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>
        <v>94</v>
      </c>
      <c r="C10" s="24">
        <v>117401171</v>
      </c>
      <c r="D10" s="24">
        <v>5</v>
      </c>
      <c r="E10" s="24">
        <v>12238601</v>
      </c>
      <c r="F10" s="24">
        <v>109</v>
      </c>
      <c r="G10" s="24">
        <v>136832368</v>
      </c>
      <c r="H10" s="24">
        <v>49500557</v>
      </c>
      <c r="I10" s="24">
        <v>4220902</v>
      </c>
      <c r="J10" s="38">
        <v>8.5300000000000001E-2</v>
      </c>
    </row>
    <row r="11" spans="1:10" x14ac:dyDescent="0.2">
      <c r="A11" s="35" t="s">
        <v>37</v>
      </c>
      <c r="B11" s="24">
        <v>12</v>
      </c>
      <c r="C11" s="24">
        <v>26240000</v>
      </c>
      <c r="D11" s="24">
        <v>138</v>
      </c>
      <c r="E11" s="24">
        <v>287251745</v>
      </c>
      <c r="F11" s="24">
        <v>507</v>
      </c>
      <c r="G11" s="24">
        <v>690066330</v>
      </c>
      <c r="H11" s="24">
        <v>812597975</v>
      </c>
      <c r="I11" s="24">
        <v>75517874</v>
      </c>
      <c r="J11" s="38">
        <v>9.2899999999999996E-2</v>
      </c>
    </row>
    <row r="12" spans="1:10" x14ac:dyDescent="0.2">
      <c r="A12" s="35" t="s">
        <v>38</v>
      </c>
      <c r="B12" s="24">
        <v>80</v>
      </c>
      <c r="C12" s="24">
        <v>20560000</v>
      </c>
      <c r="D12" s="24">
        <v>11</v>
      </c>
      <c r="E12" s="24">
        <v>4004881</v>
      </c>
      <c r="F12" s="24">
        <v>75</v>
      </c>
      <c r="G12" s="24">
        <v>17615119</v>
      </c>
      <c r="H12" s="24">
        <v>7024597</v>
      </c>
      <c r="I12" s="24">
        <v>442342</v>
      </c>
      <c r="J12" s="38"/>
    </row>
    <row r="13" spans="1:10" x14ac:dyDescent="0.2">
      <c r="A13" s="35" t="s">
        <v>39</v>
      </c>
      <c r="B13" s="24"/>
      <c r="C13" s="24"/>
      <c r="D13" s="24"/>
      <c r="E13" s="24"/>
      <c r="F13" s="24"/>
      <c r="G13" s="24"/>
      <c r="H13" s="24"/>
      <c r="I13" s="24"/>
      <c r="J13" s="38"/>
    </row>
    <row r="14" spans="1:10" x14ac:dyDescent="0.2">
      <c r="A14" s="35" t="s">
        <v>40</v>
      </c>
      <c r="B14" s="24">
        <v>0</v>
      </c>
      <c r="C14" s="24">
        <v>0</v>
      </c>
      <c r="D14" s="24">
        <v>30</v>
      </c>
      <c r="E14" s="24">
        <v>12995463</v>
      </c>
      <c r="F14" s="24">
        <v>33</v>
      </c>
      <c r="G14" s="24">
        <v>18375251</v>
      </c>
      <c r="H14" s="24">
        <v>24006157</v>
      </c>
      <c r="I14" s="24">
        <v>2265008</v>
      </c>
      <c r="J14" s="38">
        <v>9.4399999999999998E-2</v>
      </c>
    </row>
    <row r="15" spans="1:10" x14ac:dyDescent="0.2">
      <c r="A15" s="35" t="s">
        <v>41</v>
      </c>
      <c r="B15" s="24"/>
      <c r="C15" s="24"/>
      <c r="D15" s="24">
        <v>3</v>
      </c>
      <c r="E15" s="24">
        <v>3593458</v>
      </c>
      <c r="F15" s="24">
        <v>14</v>
      </c>
      <c r="G15" s="24">
        <v>6854865</v>
      </c>
      <c r="H15" s="24">
        <v>8481193</v>
      </c>
      <c r="I15" s="24">
        <v>923263</v>
      </c>
      <c r="J15" s="38">
        <v>0.1089</v>
      </c>
    </row>
    <row r="16" spans="1:10" x14ac:dyDescent="0.2">
      <c r="A16" s="35" t="s">
        <v>42</v>
      </c>
      <c r="B16" s="24"/>
      <c r="C16" s="24"/>
      <c r="D16" s="24">
        <v>34</v>
      </c>
      <c r="E16" s="24">
        <v>34632969</v>
      </c>
      <c r="F16" s="24">
        <v>62</v>
      </c>
      <c r="G16" s="24">
        <v>74987939</v>
      </c>
      <c r="H16" s="24">
        <v>89701066</v>
      </c>
      <c r="I16" s="24">
        <v>9477690</v>
      </c>
      <c r="J16" s="38">
        <v>0.1057</v>
      </c>
    </row>
    <row r="17" spans="1:10" x14ac:dyDescent="0.2">
      <c r="A17" s="36" t="s">
        <v>73</v>
      </c>
      <c r="B17" s="25">
        <v>581</v>
      </c>
      <c r="C17" s="25">
        <v>936641171</v>
      </c>
      <c r="D17" s="25">
        <v>878</v>
      </c>
      <c r="E17" s="25">
        <v>1626496697</v>
      </c>
      <c r="F17" s="25">
        <v>3236</v>
      </c>
      <c r="G17" s="25">
        <v>4073054019</v>
      </c>
      <c r="H17" s="25">
        <v>4380516869</v>
      </c>
      <c r="I17" s="25">
        <v>402371628</v>
      </c>
      <c r="J17" s="39">
        <v>9.6416666666666664E-2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/>
      <c r="C19" s="24"/>
      <c r="D19" s="24">
        <v>1</v>
      </c>
      <c r="E19" s="24">
        <v>834599</v>
      </c>
      <c r="F19" s="24">
        <v>4</v>
      </c>
      <c r="G19" s="24">
        <v>676448</v>
      </c>
      <c r="H19" s="24">
        <v>1017968</v>
      </c>
      <c r="I19" s="24">
        <v>97518</v>
      </c>
      <c r="J19" s="38">
        <v>9.5799999999999996E-2</v>
      </c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>
        <v>26</v>
      </c>
      <c r="C21" s="24">
        <v>25090000</v>
      </c>
      <c r="D21" s="24">
        <v>8</v>
      </c>
      <c r="E21" s="24">
        <v>11630918</v>
      </c>
      <c r="F21" s="24">
        <v>64</v>
      </c>
      <c r="G21" s="24">
        <v>46386168</v>
      </c>
      <c r="H21" s="24">
        <v>37002439</v>
      </c>
      <c r="I21" s="24">
        <v>3351539</v>
      </c>
      <c r="J21" s="38">
        <v>9.06E-2</v>
      </c>
    </row>
    <row r="22" spans="1:10" x14ac:dyDescent="0.2">
      <c r="A22" s="35" t="s">
        <v>46</v>
      </c>
      <c r="B22" s="24"/>
      <c r="C22" s="24"/>
      <c r="D22" s="24">
        <v>1</v>
      </c>
      <c r="E22" s="24">
        <v>1605163</v>
      </c>
      <c r="F22" s="24">
        <v>1</v>
      </c>
      <c r="G22" s="24">
        <v>40712</v>
      </c>
      <c r="H22" s="24">
        <v>1078075</v>
      </c>
      <c r="I22" s="24">
        <v>112107</v>
      </c>
      <c r="J22" s="38">
        <v>0.104</v>
      </c>
    </row>
    <row r="23" spans="1:10" ht="24" x14ac:dyDescent="0.2">
      <c r="A23" s="35" t="s">
        <v>47</v>
      </c>
      <c r="B23" s="24">
        <v>108</v>
      </c>
      <c r="C23" s="24">
        <v>32930000</v>
      </c>
      <c r="D23" s="24">
        <v>129</v>
      </c>
      <c r="E23" s="24">
        <v>63462460</v>
      </c>
      <c r="F23" s="24">
        <v>265</v>
      </c>
      <c r="G23" s="24">
        <v>111633682</v>
      </c>
      <c r="H23" s="24">
        <v>128564937</v>
      </c>
      <c r="I23" s="24">
        <v>14812473</v>
      </c>
      <c r="J23" s="38">
        <v>0.1152</v>
      </c>
    </row>
    <row r="24" spans="1:10" x14ac:dyDescent="0.2">
      <c r="A24" s="35" t="s">
        <v>48</v>
      </c>
      <c r="B24" s="24"/>
      <c r="C24" s="24"/>
      <c r="D24" s="24">
        <v>1</v>
      </c>
      <c r="E24" s="24">
        <v>108176</v>
      </c>
      <c r="F24" s="24">
        <v>0</v>
      </c>
      <c r="G24" s="24">
        <v>0</v>
      </c>
      <c r="H24" s="24">
        <v>45704</v>
      </c>
      <c r="I24" s="24">
        <v>4647</v>
      </c>
      <c r="J24" s="38">
        <v>0.1017</v>
      </c>
    </row>
    <row r="25" spans="1:10" x14ac:dyDescent="0.2">
      <c r="A25" s="35" t="s">
        <v>49</v>
      </c>
      <c r="B25" s="24">
        <v>67</v>
      </c>
      <c r="C25" s="24">
        <v>69750000</v>
      </c>
      <c r="D25" s="24">
        <v>12</v>
      </c>
      <c r="E25" s="24">
        <v>24504481</v>
      </c>
      <c r="F25" s="24">
        <v>142</v>
      </c>
      <c r="G25" s="24">
        <v>114921016</v>
      </c>
      <c r="H25" s="24">
        <v>94020334</v>
      </c>
      <c r="I25" s="24">
        <v>8358702</v>
      </c>
      <c r="J25" s="38">
        <v>8.8900000000000007E-2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>
        <v>12</v>
      </c>
      <c r="E27" s="24">
        <v>3644026</v>
      </c>
      <c r="F27" s="24">
        <v>15</v>
      </c>
      <c r="G27" s="24">
        <v>1799296</v>
      </c>
      <c r="H27" s="24">
        <v>3232029</v>
      </c>
      <c r="I27" s="24">
        <v>344833</v>
      </c>
      <c r="J27" s="38">
        <v>0.1067</v>
      </c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201</v>
      </c>
      <c r="C31" s="25">
        <v>127770000</v>
      </c>
      <c r="D31" s="25">
        <v>164</v>
      </c>
      <c r="E31" s="25">
        <v>105789823</v>
      </c>
      <c r="F31" s="25">
        <v>491</v>
      </c>
      <c r="G31" s="25">
        <v>275457322</v>
      </c>
      <c r="H31" s="25">
        <v>264961486</v>
      </c>
      <c r="I31" s="25">
        <v>27081819</v>
      </c>
      <c r="J31" s="39">
        <v>0.10041428571428571</v>
      </c>
    </row>
    <row r="32" spans="1:10" x14ac:dyDescent="0.2">
      <c r="A32" s="35" t="s">
        <v>50</v>
      </c>
      <c r="B32" s="24">
        <v>8</v>
      </c>
      <c r="C32" s="24">
        <v>55350000</v>
      </c>
      <c r="D32" s="24">
        <v>13</v>
      </c>
      <c r="E32" s="24">
        <v>127498740</v>
      </c>
      <c r="F32" s="24">
        <v>146</v>
      </c>
      <c r="G32" s="24">
        <v>727521990</v>
      </c>
      <c r="H32" s="24">
        <v>771068916</v>
      </c>
      <c r="I32" s="24">
        <v>61232069</v>
      </c>
      <c r="J32" s="38">
        <v>7.9399999999999998E-2</v>
      </c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>
        <v>8</v>
      </c>
      <c r="E34" s="24">
        <v>38315369</v>
      </c>
      <c r="F34" s="24">
        <v>7</v>
      </c>
      <c r="G34" s="24">
        <v>20469767</v>
      </c>
      <c r="H34" s="24">
        <v>42808593</v>
      </c>
      <c r="I34" s="24">
        <v>8977859</v>
      </c>
      <c r="J34" s="38">
        <v>0.2097</v>
      </c>
    </row>
    <row r="35" spans="1:10" x14ac:dyDescent="0.2">
      <c r="A35" s="35" t="s">
        <v>52</v>
      </c>
      <c r="B35" s="24"/>
      <c r="C35" s="24"/>
      <c r="D35" s="24">
        <v>2</v>
      </c>
      <c r="E35" s="24">
        <v>3396866</v>
      </c>
      <c r="F35" s="24">
        <v>3</v>
      </c>
      <c r="G35" s="24">
        <v>7819191</v>
      </c>
      <c r="H35" s="24">
        <v>9350715</v>
      </c>
      <c r="I35" s="24">
        <v>1182487</v>
      </c>
      <c r="J35" s="38">
        <v>0.1265</v>
      </c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8</v>
      </c>
      <c r="C38" s="25">
        <v>55350000</v>
      </c>
      <c r="D38" s="25">
        <v>23</v>
      </c>
      <c r="E38" s="25">
        <v>169210975</v>
      </c>
      <c r="F38" s="25">
        <v>156</v>
      </c>
      <c r="G38" s="25">
        <v>755810948</v>
      </c>
      <c r="H38" s="25">
        <v>823228224</v>
      </c>
      <c r="I38" s="25">
        <v>71392415</v>
      </c>
      <c r="J38" s="39">
        <v>0.13853333333333334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>
        <v>184</v>
      </c>
      <c r="C41" s="24">
        <v>121050000</v>
      </c>
      <c r="D41" s="24">
        <v>94</v>
      </c>
      <c r="E41" s="24">
        <v>66182436</v>
      </c>
      <c r="F41" s="24">
        <v>323</v>
      </c>
      <c r="G41" s="24">
        <v>199560056</v>
      </c>
      <c r="H41" s="24">
        <v>165728386</v>
      </c>
      <c r="I41" s="24">
        <v>14618115</v>
      </c>
      <c r="J41" s="38">
        <v>8.8200000000000001E-2</v>
      </c>
    </row>
    <row r="42" spans="1:10" x14ac:dyDescent="0.2">
      <c r="A42" s="35" t="s">
        <v>54</v>
      </c>
      <c r="B42" s="24"/>
      <c r="C42" s="24"/>
      <c r="D42" s="24">
        <v>7</v>
      </c>
      <c r="E42" s="24">
        <v>1351782</v>
      </c>
      <c r="F42" s="24">
        <v>9</v>
      </c>
      <c r="G42" s="24">
        <v>1282028</v>
      </c>
      <c r="H42" s="24">
        <v>1795666</v>
      </c>
      <c r="I42" s="24">
        <v>126142</v>
      </c>
      <c r="J42" s="38">
        <v>7.0199999999999999E-2</v>
      </c>
    </row>
    <row r="43" spans="1:10" x14ac:dyDescent="0.2">
      <c r="A43" s="35" t="s">
        <v>55</v>
      </c>
      <c r="B43" s="24"/>
      <c r="C43" s="24"/>
      <c r="D43" s="24">
        <v>4</v>
      </c>
      <c r="E43" s="24">
        <v>353001</v>
      </c>
      <c r="F43" s="24">
        <v>0</v>
      </c>
      <c r="G43" s="24">
        <v>0</v>
      </c>
      <c r="H43" s="24">
        <v>108028</v>
      </c>
      <c r="I43" s="24">
        <v>3850</v>
      </c>
      <c r="J43" s="38">
        <v>3.56E-2</v>
      </c>
    </row>
    <row r="44" spans="1:10" x14ac:dyDescent="0.2">
      <c r="A44" s="35" t="s">
        <v>56</v>
      </c>
      <c r="B44" s="24"/>
      <c r="C44" s="24"/>
      <c r="D44" s="24">
        <v>37</v>
      </c>
      <c r="E44" s="24">
        <v>31439426</v>
      </c>
      <c r="F44" s="24">
        <v>68</v>
      </c>
      <c r="G44" s="24">
        <v>43336868</v>
      </c>
      <c r="H44" s="24">
        <v>57022133</v>
      </c>
      <c r="I44" s="24">
        <v>5615307</v>
      </c>
      <c r="J44" s="38">
        <v>9.8500000000000004E-2</v>
      </c>
    </row>
    <row r="45" spans="1:10" x14ac:dyDescent="0.2">
      <c r="A45" s="35" t="s">
        <v>57</v>
      </c>
      <c r="B45" s="24"/>
      <c r="C45" s="24"/>
      <c r="D45" s="24">
        <v>19</v>
      </c>
      <c r="E45" s="24">
        <v>6427104</v>
      </c>
      <c r="F45" s="24">
        <v>21</v>
      </c>
      <c r="G45" s="24">
        <v>11374196</v>
      </c>
      <c r="H45" s="24">
        <v>14453459</v>
      </c>
      <c r="I45" s="24">
        <v>1154317</v>
      </c>
      <c r="J45" s="38">
        <v>7.9899999999999999E-2</v>
      </c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184</v>
      </c>
      <c r="C47" s="25">
        <v>121050000</v>
      </c>
      <c r="D47" s="25">
        <v>161</v>
      </c>
      <c r="E47" s="25">
        <v>105753749</v>
      </c>
      <c r="F47" s="25">
        <v>421</v>
      </c>
      <c r="G47" s="25">
        <v>255553148</v>
      </c>
      <c r="H47" s="25">
        <v>239107672</v>
      </c>
      <c r="I47" s="25">
        <v>21517731</v>
      </c>
      <c r="J47" s="39">
        <v>7.4479999999999991E-2</v>
      </c>
    </row>
    <row r="48" spans="1:10" x14ac:dyDescent="0.2">
      <c r="A48" s="35" t="s">
        <v>58</v>
      </c>
      <c r="B48" s="24">
        <v>3</v>
      </c>
      <c r="C48" s="24">
        <v>5090000</v>
      </c>
      <c r="D48" s="24">
        <v>8</v>
      </c>
      <c r="E48" s="24">
        <v>11683396</v>
      </c>
      <c r="F48" s="24">
        <v>16</v>
      </c>
      <c r="G48" s="24">
        <v>23998416</v>
      </c>
      <c r="H48" s="24">
        <v>25303422</v>
      </c>
      <c r="I48" s="24">
        <v>1621966</v>
      </c>
      <c r="J48" s="38">
        <v>6.4100000000000004E-2</v>
      </c>
    </row>
    <row r="49" spans="1:10" ht="24" x14ac:dyDescent="0.2">
      <c r="A49" s="35" t="s">
        <v>59</v>
      </c>
      <c r="B49" s="24"/>
      <c r="C49" s="24"/>
      <c r="D49" s="24">
        <v>1</v>
      </c>
      <c r="E49" s="24">
        <v>526910</v>
      </c>
      <c r="F49" s="24">
        <v>1</v>
      </c>
      <c r="G49" s="24">
        <v>213067</v>
      </c>
      <c r="H49" s="24">
        <v>362245</v>
      </c>
      <c r="I49" s="24">
        <v>27493</v>
      </c>
      <c r="J49" s="38">
        <v>7.5899999999999995E-2</v>
      </c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3</v>
      </c>
      <c r="C52" s="25">
        <v>5090000</v>
      </c>
      <c r="D52" s="25">
        <v>9</v>
      </c>
      <c r="E52" s="25">
        <v>12210306</v>
      </c>
      <c r="F52" s="25">
        <v>17</v>
      </c>
      <c r="G52" s="25">
        <v>24211483</v>
      </c>
      <c r="H52" s="25">
        <v>25665667</v>
      </c>
      <c r="I52" s="25">
        <v>1649459</v>
      </c>
      <c r="J52" s="39">
        <v>7.0000000000000007E-2</v>
      </c>
    </row>
    <row r="53" spans="1:10" x14ac:dyDescent="0.2">
      <c r="A53" s="35" t="s">
        <v>60</v>
      </c>
      <c r="B53" s="24">
        <v>8</v>
      </c>
      <c r="C53" s="24">
        <v>12670000</v>
      </c>
      <c r="D53" s="24">
        <v>1</v>
      </c>
      <c r="E53" s="24">
        <v>3550417</v>
      </c>
      <c r="F53" s="24">
        <v>15</v>
      </c>
      <c r="G53" s="24">
        <v>19420685</v>
      </c>
      <c r="H53" s="24">
        <v>13483675</v>
      </c>
      <c r="I53" s="24">
        <v>1062847</v>
      </c>
      <c r="J53" s="38">
        <v>7.8799999999999995E-2</v>
      </c>
    </row>
    <row r="54" spans="1:10" x14ac:dyDescent="0.2">
      <c r="A54" s="36" t="s">
        <v>73</v>
      </c>
      <c r="B54" s="25">
        <v>8</v>
      </c>
      <c r="C54" s="25">
        <v>12670000</v>
      </c>
      <c r="D54" s="25">
        <v>1</v>
      </c>
      <c r="E54" s="25">
        <v>3550417</v>
      </c>
      <c r="F54" s="25">
        <v>15</v>
      </c>
      <c r="G54" s="25">
        <v>19420685</v>
      </c>
      <c r="H54" s="25">
        <v>13483675</v>
      </c>
      <c r="I54" s="25">
        <v>1062847</v>
      </c>
      <c r="J54" s="39">
        <v>7.8799999999999995E-2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985</v>
      </c>
      <c r="C63" s="40">
        <v>1258571171</v>
      </c>
      <c r="D63" s="40">
        <v>1236</v>
      </c>
      <c r="E63" s="40">
        <v>2023011967</v>
      </c>
      <c r="F63" s="40">
        <v>4336</v>
      </c>
      <c r="G63" s="40">
        <v>5403507605</v>
      </c>
      <c r="H63" s="40">
        <v>5746963593</v>
      </c>
      <c r="I63" s="40">
        <v>525075899</v>
      </c>
      <c r="J63" s="41">
        <v>9.1365795259180094E-2</v>
      </c>
    </row>
  </sheetData>
  <phoneticPr fontId="2"/>
  <pageMargins left="0.7" right="0.7" top="0.75" bottom="0.75" header="0.3" footer="0.3"/>
  <pageSetup paperSize="9" scale="74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258D6-FA21-4B57-8F78-7B5D2E4174A6}">
  <sheetPr>
    <pageSetUpPr fitToPage="1"/>
  </sheetPr>
  <dimension ref="A1:CA166"/>
  <sheetViews>
    <sheetView zoomScale="103" zoomScaleNormal="103" zoomScaleSheetLayoutView="80" workbookViewId="0">
      <pane xSplit="1" ySplit="2" topLeftCell="AM3" activePane="bottomRight" state="frozen"/>
      <selection pane="topRight" activeCell="B1" sqref="B1"/>
      <selection pane="bottomLeft" activeCell="A3" sqref="A3"/>
      <selection pane="bottomRight" activeCell="AL163" activeCellId="1" sqref="A163:A166 AL163:AT166"/>
    </sheetView>
  </sheetViews>
  <sheetFormatPr defaultColWidth="9.08984375" defaultRowHeight="12" x14ac:dyDescent="0.2"/>
  <cols>
    <col min="1" max="1" width="15.81640625" style="33" customWidth="1"/>
    <col min="2" max="46" width="16.26953125" style="7" customWidth="1"/>
    <col min="47" max="16384" width="9.08984375" style="5"/>
  </cols>
  <sheetData>
    <row r="1" spans="1:46" x14ac:dyDescent="0.2">
      <c r="A1" s="33" t="s">
        <v>242</v>
      </c>
    </row>
    <row r="2" spans="1:46" ht="12.5" thickBot="1" x14ac:dyDescent="0.25">
      <c r="B2" s="6" t="s">
        <v>138</v>
      </c>
      <c r="C2" s="6" t="s">
        <v>139</v>
      </c>
      <c r="D2" s="6" t="s">
        <v>141</v>
      </c>
      <c r="E2" s="6" t="s">
        <v>142</v>
      </c>
      <c r="F2" s="6" t="s">
        <v>143</v>
      </c>
      <c r="G2" s="6" t="s">
        <v>144</v>
      </c>
      <c r="H2" s="6" t="s">
        <v>145</v>
      </c>
      <c r="I2" s="6" t="s">
        <v>146</v>
      </c>
      <c r="J2" s="6" t="s">
        <v>147</v>
      </c>
      <c r="K2" s="6" t="s">
        <v>148</v>
      </c>
      <c r="L2" s="6" t="s">
        <v>149</v>
      </c>
      <c r="M2" s="6" t="s">
        <v>150</v>
      </c>
      <c r="N2" s="6" t="s">
        <v>151</v>
      </c>
      <c r="O2" s="6" t="s">
        <v>152</v>
      </c>
      <c r="P2" s="6" t="s">
        <v>153</v>
      </c>
      <c r="Q2" s="6" t="s">
        <v>154</v>
      </c>
      <c r="R2" s="6" t="s">
        <v>155</v>
      </c>
      <c r="S2" s="6" t="s">
        <v>156</v>
      </c>
      <c r="T2" s="6" t="s">
        <v>157</v>
      </c>
      <c r="U2" s="6" t="s">
        <v>158</v>
      </c>
      <c r="V2" s="6" t="s">
        <v>159</v>
      </c>
      <c r="W2" s="6" t="s">
        <v>160</v>
      </c>
      <c r="X2" s="6" t="s">
        <v>161</v>
      </c>
      <c r="Y2" s="6" t="s">
        <v>162</v>
      </c>
      <c r="Z2" s="6" t="s">
        <v>163</v>
      </c>
      <c r="AA2" s="6" t="s">
        <v>164</v>
      </c>
      <c r="AB2" s="6" t="s">
        <v>165</v>
      </c>
      <c r="AC2" s="6" t="s">
        <v>166</v>
      </c>
      <c r="AD2" s="6" t="s">
        <v>167</v>
      </c>
      <c r="AE2" s="6" t="s">
        <v>168</v>
      </c>
      <c r="AF2" s="6" t="s">
        <v>169</v>
      </c>
      <c r="AG2" s="6" t="s">
        <v>170</v>
      </c>
      <c r="AH2" s="6" t="s">
        <v>171</v>
      </c>
      <c r="AI2" s="6" t="s">
        <v>172</v>
      </c>
      <c r="AJ2" s="6" t="s">
        <v>173</v>
      </c>
      <c r="AK2" s="6" t="s">
        <v>174</v>
      </c>
      <c r="AL2" s="6" t="s">
        <v>175</v>
      </c>
      <c r="AM2" s="6" t="s">
        <v>176</v>
      </c>
      <c r="AN2" s="6" t="s">
        <v>177</v>
      </c>
      <c r="AO2" s="6" t="s">
        <v>178</v>
      </c>
      <c r="AP2" s="6" t="s">
        <v>179</v>
      </c>
      <c r="AQ2" s="6" t="s">
        <v>180</v>
      </c>
      <c r="AR2" s="6" t="s">
        <v>181</v>
      </c>
      <c r="AS2" s="6" t="s">
        <v>182</v>
      </c>
      <c r="AT2" s="6" t="s">
        <v>183</v>
      </c>
    </row>
    <row r="3" spans="1:46" x14ac:dyDescent="0.2">
      <c r="A3" s="3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1:46" x14ac:dyDescent="0.2">
      <c r="A4" s="35" t="s">
        <v>72</v>
      </c>
      <c r="B4" s="24">
        <v>43</v>
      </c>
      <c r="C4" s="24">
        <v>12</v>
      </c>
      <c r="D4" s="24">
        <f>13+8</f>
        <v>21</v>
      </c>
      <c r="E4" s="24"/>
      <c r="F4" s="24">
        <f>6+9</f>
        <v>15</v>
      </c>
      <c r="G4" s="24">
        <f>7+7</f>
        <v>14</v>
      </c>
      <c r="H4" s="24">
        <v>42</v>
      </c>
      <c r="I4" s="24">
        <v>65</v>
      </c>
      <c r="J4" s="24"/>
      <c r="K4" s="24"/>
      <c r="L4" s="24"/>
      <c r="M4" s="24">
        <v>188</v>
      </c>
      <c r="N4" s="24">
        <v>161</v>
      </c>
      <c r="O4" s="24">
        <v>131</v>
      </c>
      <c r="P4" s="24">
        <v>101</v>
      </c>
      <c r="Q4" s="24">
        <v>125</v>
      </c>
      <c r="R4" s="24">
        <v>205</v>
      </c>
      <c r="S4" s="24">
        <v>340</v>
      </c>
      <c r="T4" s="24">
        <v>548</v>
      </c>
      <c r="U4" s="24">
        <v>707</v>
      </c>
      <c r="V4" s="24">
        <v>866</v>
      </c>
      <c r="W4" s="24">
        <v>1012</v>
      </c>
      <c r="X4" s="24">
        <v>1337</v>
      </c>
      <c r="Y4" s="24">
        <v>1616</v>
      </c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1:46" x14ac:dyDescent="0.2">
      <c r="A5" s="35" t="s">
        <v>109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>
        <v>24</v>
      </c>
      <c r="AA5" s="24">
        <v>12</v>
      </c>
      <c r="AB5" s="24">
        <v>10</v>
      </c>
      <c r="AC5" s="24">
        <v>6</v>
      </c>
      <c r="AD5" s="24">
        <v>5</v>
      </c>
      <c r="AE5" s="24">
        <v>3</v>
      </c>
      <c r="AF5" s="24">
        <v>2</v>
      </c>
      <c r="AG5" s="24">
        <v>1</v>
      </c>
      <c r="AH5" s="24">
        <v>0</v>
      </c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</row>
    <row r="6" spans="1:46" ht="24" x14ac:dyDescent="0.2">
      <c r="A6" s="35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>
        <v>65</v>
      </c>
      <c r="AN6" s="24">
        <v>46</v>
      </c>
      <c r="AO6" s="24">
        <v>30</v>
      </c>
      <c r="AP6" s="24">
        <v>18</v>
      </c>
      <c r="AQ6" s="24">
        <v>11</v>
      </c>
      <c r="AR6" s="24">
        <v>6</v>
      </c>
      <c r="AS6" s="24">
        <v>4</v>
      </c>
      <c r="AT6" s="24">
        <v>4</v>
      </c>
    </row>
    <row r="7" spans="1:46" x14ac:dyDescent="0.2">
      <c r="A7" s="35" t="s">
        <v>34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>
        <v>992</v>
      </c>
      <c r="AA7" s="24">
        <v>1149</v>
      </c>
      <c r="AB7" s="24">
        <v>1364</v>
      </c>
      <c r="AC7" s="24">
        <v>1699</v>
      </c>
      <c r="AD7" s="24">
        <v>2017</v>
      </c>
      <c r="AE7" s="24">
        <v>2377</v>
      </c>
      <c r="AF7" s="24">
        <v>2608</v>
      </c>
      <c r="AG7" s="24">
        <v>2702</v>
      </c>
      <c r="AH7" s="24">
        <v>2804</v>
      </c>
      <c r="AI7" s="24">
        <v>2812</v>
      </c>
      <c r="AJ7" s="24">
        <v>2698</v>
      </c>
      <c r="AK7" s="24">
        <v>2436</v>
      </c>
      <c r="AL7" s="24">
        <v>2265</v>
      </c>
      <c r="AM7" s="24">
        <v>2035</v>
      </c>
      <c r="AN7" s="24">
        <v>1797</v>
      </c>
      <c r="AO7" s="24">
        <v>1537</v>
      </c>
      <c r="AP7" s="24">
        <v>1384</v>
      </c>
      <c r="AQ7" s="24">
        <v>1244</v>
      </c>
      <c r="AR7" s="24">
        <v>1123</v>
      </c>
      <c r="AS7" s="24">
        <v>1004</v>
      </c>
      <c r="AT7" s="24">
        <v>926</v>
      </c>
    </row>
    <row r="8" spans="1:46" x14ac:dyDescent="0.2">
      <c r="A8" s="35" t="s">
        <v>35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>
        <v>1</v>
      </c>
      <c r="AB8" s="24">
        <v>1</v>
      </c>
      <c r="AC8" s="24">
        <v>0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x14ac:dyDescent="0.2">
      <c r="A9" s="35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>
        <v>82</v>
      </c>
      <c r="AA9" s="24">
        <v>90</v>
      </c>
      <c r="AB9" s="24">
        <v>93</v>
      </c>
      <c r="AC9" s="24">
        <v>89</v>
      </c>
      <c r="AD9" s="24">
        <v>74</v>
      </c>
      <c r="AE9" s="24">
        <v>63</v>
      </c>
      <c r="AF9" s="24">
        <v>55</v>
      </c>
      <c r="AG9" s="24">
        <v>46</v>
      </c>
      <c r="AH9" s="24">
        <v>35</v>
      </c>
      <c r="AI9" s="24">
        <v>25</v>
      </c>
      <c r="AJ9" s="24">
        <v>20</v>
      </c>
      <c r="AK9" s="24">
        <v>109</v>
      </c>
      <c r="AL9" s="24">
        <v>98</v>
      </c>
      <c r="AM9" s="24">
        <v>187</v>
      </c>
      <c r="AN9" s="24">
        <v>165</v>
      </c>
      <c r="AO9" s="24">
        <v>141</v>
      </c>
      <c r="AP9" s="24">
        <v>117</v>
      </c>
      <c r="AQ9" s="24">
        <v>95</v>
      </c>
      <c r="AR9" s="24">
        <v>74</v>
      </c>
      <c r="AS9" s="24">
        <v>48</v>
      </c>
      <c r="AT9" s="24">
        <v>35</v>
      </c>
    </row>
    <row r="10" spans="1:46" x14ac:dyDescent="0.2">
      <c r="A10" s="35" t="s">
        <v>37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>
        <v>461</v>
      </c>
      <c r="AA10" s="24">
        <v>507</v>
      </c>
      <c r="AB10" s="24">
        <v>685</v>
      </c>
      <c r="AC10" s="24">
        <v>707</v>
      </c>
      <c r="AD10" s="24">
        <v>770</v>
      </c>
      <c r="AE10" s="24">
        <v>805</v>
      </c>
      <c r="AF10" s="24">
        <v>822</v>
      </c>
      <c r="AG10" s="24">
        <v>777</v>
      </c>
      <c r="AH10" s="24">
        <v>729</v>
      </c>
      <c r="AI10" s="24">
        <v>707</v>
      </c>
      <c r="AJ10" s="24">
        <v>633</v>
      </c>
      <c r="AK10" s="24">
        <v>507</v>
      </c>
      <c r="AL10" s="24">
        <v>484</v>
      </c>
      <c r="AM10" s="24">
        <v>384</v>
      </c>
      <c r="AN10" s="24">
        <v>298</v>
      </c>
      <c r="AO10" s="24">
        <v>232</v>
      </c>
      <c r="AP10" s="24">
        <v>188</v>
      </c>
      <c r="AQ10" s="24">
        <v>158</v>
      </c>
      <c r="AR10" s="24">
        <v>136</v>
      </c>
      <c r="AS10" s="24">
        <v>108</v>
      </c>
      <c r="AT10" s="24">
        <v>98</v>
      </c>
    </row>
    <row r="11" spans="1:46" x14ac:dyDescent="0.2">
      <c r="A11" s="35" t="s">
        <v>38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>
        <v>6</v>
      </c>
      <c r="AK11" s="24">
        <v>75</v>
      </c>
      <c r="AL11" s="24">
        <v>266</v>
      </c>
      <c r="AM11" s="24">
        <v>411</v>
      </c>
      <c r="AN11" s="24">
        <v>506</v>
      </c>
      <c r="AO11" s="24">
        <v>553</v>
      </c>
      <c r="AP11" s="24">
        <v>594</v>
      </c>
      <c r="AQ11" s="24">
        <v>627</v>
      </c>
      <c r="AR11" s="24">
        <v>576</v>
      </c>
      <c r="AS11" s="24">
        <v>540</v>
      </c>
      <c r="AT11" s="24">
        <v>471</v>
      </c>
    </row>
    <row r="12" spans="1:46" x14ac:dyDescent="0.2">
      <c r="A12" s="35" t="s">
        <v>39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>
        <v>24</v>
      </c>
      <c r="AM12" s="24">
        <v>73</v>
      </c>
      <c r="AN12" s="24">
        <v>153</v>
      </c>
      <c r="AO12" s="24">
        <v>132</v>
      </c>
      <c r="AP12" s="24">
        <v>137</v>
      </c>
      <c r="AQ12" s="24">
        <v>118</v>
      </c>
      <c r="AR12" s="24">
        <v>81</v>
      </c>
      <c r="AS12" s="24">
        <v>54</v>
      </c>
      <c r="AT12" s="24">
        <v>47</v>
      </c>
    </row>
    <row r="13" spans="1:46" x14ac:dyDescent="0.2">
      <c r="A13" s="35" t="s">
        <v>40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>
        <v>178</v>
      </c>
      <c r="AA13" s="24">
        <v>209</v>
      </c>
      <c r="AB13" s="24">
        <v>236</v>
      </c>
      <c r="AC13" s="24">
        <v>215</v>
      </c>
      <c r="AD13" s="24">
        <v>187</v>
      </c>
      <c r="AE13" s="24">
        <v>174</v>
      </c>
      <c r="AF13" s="24">
        <v>171</v>
      </c>
      <c r="AG13" s="24">
        <v>164</v>
      </c>
      <c r="AH13" s="24">
        <v>165</v>
      </c>
      <c r="AI13" s="24">
        <v>100</v>
      </c>
      <c r="AJ13" s="24">
        <v>63</v>
      </c>
      <c r="AK13" s="24">
        <v>33</v>
      </c>
      <c r="AL13" s="24">
        <v>21</v>
      </c>
      <c r="AM13" s="24">
        <v>14</v>
      </c>
      <c r="AN13" s="24">
        <v>8</v>
      </c>
      <c r="AO13" s="24">
        <v>7</v>
      </c>
      <c r="AP13" s="24">
        <v>6</v>
      </c>
      <c r="AQ13" s="24">
        <v>2</v>
      </c>
      <c r="AR13" s="24"/>
      <c r="AS13" s="24"/>
      <c r="AT13" s="24"/>
    </row>
    <row r="14" spans="1:46" x14ac:dyDescent="0.2">
      <c r="A14" s="35" t="s">
        <v>41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>
        <v>55</v>
      </c>
      <c r="AA14" s="24">
        <v>45</v>
      </c>
      <c r="AB14" s="24">
        <v>46</v>
      </c>
      <c r="AC14" s="24">
        <v>49</v>
      </c>
      <c r="AD14" s="24">
        <v>40</v>
      </c>
      <c r="AE14" s="24">
        <v>36</v>
      </c>
      <c r="AF14" s="24">
        <v>42</v>
      </c>
      <c r="AG14" s="24">
        <v>39</v>
      </c>
      <c r="AH14" s="24">
        <v>41</v>
      </c>
      <c r="AI14" s="24">
        <v>24</v>
      </c>
      <c r="AJ14" s="24">
        <v>17</v>
      </c>
      <c r="AK14" s="24">
        <v>14</v>
      </c>
      <c r="AL14" s="24">
        <v>8</v>
      </c>
      <c r="AM14" s="24">
        <v>2</v>
      </c>
      <c r="AN14" s="24">
        <v>2</v>
      </c>
      <c r="AO14" s="24">
        <v>2</v>
      </c>
      <c r="AP14" s="24">
        <v>1</v>
      </c>
      <c r="AQ14" s="24">
        <v>1</v>
      </c>
      <c r="AR14" s="24">
        <v>1</v>
      </c>
      <c r="AS14" s="24">
        <v>1</v>
      </c>
      <c r="AT14" s="24">
        <v>1</v>
      </c>
    </row>
    <row r="15" spans="1:46" x14ac:dyDescent="0.2">
      <c r="A15" s="35" t="s">
        <v>42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>
        <v>67</v>
      </c>
      <c r="AD15" s="24">
        <v>148</v>
      </c>
      <c r="AE15" s="24">
        <v>206</v>
      </c>
      <c r="AF15" s="24">
        <v>220</v>
      </c>
      <c r="AG15" s="24">
        <v>210</v>
      </c>
      <c r="AH15" s="24">
        <v>184</v>
      </c>
      <c r="AI15" s="24">
        <v>133</v>
      </c>
      <c r="AJ15" s="24">
        <v>96</v>
      </c>
      <c r="AK15" s="24">
        <v>62</v>
      </c>
      <c r="AL15" s="24">
        <v>46</v>
      </c>
      <c r="AM15" s="24">
        <v>32</v>
      </c>
      <c r="AN15" s="24">
        <v>24</v>
      </c>
      <c r="AO15" s="24">
        <v>13</v>
      </c>
      <c r="AP15" s="24">
        <v>6</v>
      </c>
      <c r="AQ15" s="24">
        <v>5</v>
      </c>
      <c r="AR15" s="24">
        <v>5</v>
      </c>
      <c r="AS15" s="24">
        <v>5</v>
      </c>
      <c r="AT15" s="24">
        <v>3</v>
      </c>
    </row>
    <row r="16" spans="1:46" s="26" customFormat="1" x14ac:dyDescent="0.2">
      <c r="A16" s="36" t="s">
        <v>73</v>
      </c>
      <c r="B16" s="25">
        <f t="shared" ref="B16" si="0">SUM(B4:B15)</f>
        <v>43</v>
      </c>
      <c r="C16" s="25">
        <f t="shared" ref="C16" si="1">SUM(C4:C15)</f>
        <v>12</v>
      </c>
      <c r="D16" s="25">
        <f t="shared" ref="D16" si="2">SUM(D4:D15)</f>
        <v>21</v>
      </c>
      <c r="E16" s="25">
        <f t="shared" ref="E16" si="3">SUM(E4:E15)</f>
        <v>0</v>
      </c>
      <c r="F16" s="25">
        <f t="shared" ref="F16" si="4">SUM(F4:F15)</f>
        <v>15</v>
      </c>
      <c r="G16" s="25">
        <f t="shared" ref="G16" si="5">SUM(G4:G15)</f>
        <v>14</v>
      </c>
      <c r="H16" s="25">
        <f t="shared" ref="H16" si="6">SUM(H4:H15)</f>
        <v>42</v>
      </c>
      <c r="I16" s="25">
        <f t="shared" ref="I16" si="7">SUM(I4:I15)</f>
        <v>65</v>
      </c>
      <c r="J16" s="25">
        <f t="shared" ref="J16" si="8">SUM(J4:J15)</f>
        <v>0</v>
      </c>
      <c r="K16" s="25">
        <f t="shared" ref="K16" si="9">SUM(K4:K15)</f>
        <v>0</v>
      </c>
      <c r="L16" s="25">
        <f t="shared" ref="L16" si="10">SUM(L4:L15)</f>
        <v>0</v>
      </c>
      <c r="M16" s="25">
        <f t="shared" ref="M16" si="11">SUM(M4:M15)</f>
        <v>188</v>
      </c>
      <c r="N16" s="25">
        <f t="shared" ref="N16" si="12">SUM(N4:N15)</f>
        <v>161</v>
      </c>
      <c r="O16" s="25">
        <f t="shared" ref="O16" si="13">SUM(O4:O15)</f>
        <v>131</v>
      </c>
      <c r="P16" s="25">
        <f t="shared" ref="P16" si="14">SUM(P4:P15)</f>
        <v>101</v>
      </c>
      <c r="Q16" s="25">
        <f t="shared" ref="Q16" si="15">SUM(Q4:Q15)</f>
        <v>125</v>
      </c>
      <c r="R16" s="25">
        <f t="shared" ref="R16" si="16">SUM(R4:R15)</f>
        <v>205</v>
      </c>
      <c r="S16" s="25">
        <f t="shared" ref="S16" si="17">SUM(S4:S15)</f>
        <v>340</v>
      </c>
      <c r="T16" s="25">
        <f t="shared" ref="T16" si="18">SUM(T4:T15)</f>
        <v>548</v>
      </c>
      <c r="U16" s="25">
        <f t="shared" ref="U16" si="19">SUM(U4:U15)</f>
        <v>707</v>
      </c>
      <c r="V16" s="25">
        <f t="shared" ref="V16" si="20">SUM(V4:V15)</f>
        <v>866</v>
      </c>
      <c r="W16" s="25">
        <f t="shared" ref="W16" si="21">SUM(W4:W15)</f>
        <v>1012</v>
      </c>
      <c r="X16" s="25">
        <f t="shared" ref="X16" si="22">SUM(X4:X15)</f>
        <v>1337</v>
      </c>
      <c r="Y16" s="25">
        <f t="shared" ref="Y16" si="23">SUM(Y4:Y15)</f>
        <v>1616</v>
      </c>
      <c r="Z16" s="25">
        <f t="shared" ref="Z16" si="24">SUM(Z4:Z15)</f>
        <v>1792</v>
      </c>
      <c r="AA16" s="25">
        <f t="shared" ref="AA16" si="25">SUM(AA4:AA15)</f>
        <v>2013</v>
      </c>
      <c r="AB16" s="25">
        <f t="shared" ref="AB16" si="26">SUM(AB4:AB15)</f>
        <v>2435</v>
      </c>
      <c r="AC16" s="25">
        <f t="shared" ref="AC16" si="27">SUM(AC4:AC15)</f>
        <v>2832</v>
      </c>
      <c r="AD16" s="25">
        <f t="shared" ref="AD16" si="28">SUM(AD4:AD15)</f>
        <v>3241</v>
      </c>
      <c r="AE16" s="25">
        <f t="shared" ref="AE16" si="29">SUM(AE4:AE15)</f>
        <v>3664</v>
      </c>
      <c r="AF16" s="25">
        <f t="shared" ref="AF16" si="30">SUM(AF4:AF15)</f>
        <v>3920</v>
      </c>
      <c r="AG16" s="25">
        <f t="shared" ref="AG16" si="31">SUM(AG4:AG15)</f>
        <v>3939</v>
      </c>
      <c r="AH16" s="25">
        <f t="shared" ref="AH16" si="32">SUM(AH4:AH15)</f>
        <v>3958</v>
      </c>
      <c r="AI16" s="25">
        <f t="shared" ref="AI16" si="33">SUM(AI4:AI15)</f>
        <v>3801</v>
      </c>
      <c r="AJ16" s="25">
        <f t="shared" ref="AJ16" si="34">SUM(AJ4:AJ15)</f>
        <v>3533</v>
      </c>
      <c r="AK16" s="25">
        <f t="shared" ref="AK16" si="35">SUM(AK4:AK15)</f>
        <v>3236</v>
      </c>
      <c r="AL16" s="25">
        <f t="shared" ref="AL16" si="36">SUM(AL4:AL15)</f>
        <v>3212</v>
      </c>
      <c r="AM16" s="25">
        <f t="shared" ref="AM16" si="37">SUM(AM4:AM15)</f>
        <v>3203</v>
      </c>
      <c r="AN16" s="25">
        <f t="shared" ref="AN16" si="38">SUM(AN4:AN15)</f>
        <v>2999</v>
      </c>
      <c r="AO16" s="25">
        <f t="shared" ref="AO16" si="39">SUM(AO4:AO15)</f>
        <v>2647</v>
      </c>
      <c r="AP16" s="25">
        <f t="shared" ref="AP16" si="40">SUM(AP4:AP15)</f>
        <v>2451</v>
      </c>
      <c r="AQ16" s="25">
        <f t="shared" ref="AQ16" si="41">SUM(AQ4:AQ15)</f>
        <v>2261</v>
      </c>
      <c r="AR16" s="25">
        <f t="shared" ref="AR16" si="42">SUM(AR4:AR15)</f>
        <v>2002</v>
      </c>
      <c r="AS16" s="25">
        <f t="shared" ref="AS16" si="43">SUM(AS4:AS15)</f>
        <v>1764</v>
      </c>
      <c r="AT16" s="25">
        <f t="shared" ref="AT16" si="44">SUM(AT4:AT15)</f>
        <v>1585</v>
      </c>
    </row>
    <row r="17" spans="1:46" x14ac:dyDescent="0.2">
      <c r="A17" s="35" t="s">
        <v>90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>
        <v>261</v>
      </c>
      <c r="N17" s="24">
        <v>472</v>
      </c>
      <c r="O17" s="24">
        <v>869</v>
      </c>
      <c r="P17" s="24">
        <v>658</v>
      </c>
      <c r="Q17" s="24">
        <v>1109</v>
      </c>
      <c r="R17" s="24">
        <v>853</v>
      </c>
      <c r="S17" s="24">
        <v>856</v>
      </c>
      <c r="T17" s="24">
        <v>823</v>
      </c>
      <c r="U17" s="24">
        <v>1189</v>
      </c>
      <c r="V17" s="24">
        <v>543</v>
      </c>
      <c r="W17" s="24">
        <v>483</v>
      </c>
      <c r="X17" s="24">
        <v>467</v>
      </c>
      <c r="Y17" s="24">
        <v>368</v>
      </c>
      <c r="Z17" s="24">
        <v>73</v>
      </c>
      <c r="AA17" s="24">
        <v>27</v>
      </c>
      <c r="AB17" s="24">
        <v>8</v>
      </c>
      <c r="AC17" s="24">
        <v>1</v>
      </c>
      <c r="AD17" s="24">
        <v>0</v>
      </c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</row>
    <row r="18" spans="1:46" x14ac:dyDescent="0.2">
      <c r="A18" s="35" t="s">
        <v>43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>
        <v>2</v>
      </c>
      <c r="AG18" s="24">
        <v>8</v>
      </c>
      <c r="AH18" s="24">
        <v>11</v>
      </c>
      <c r="AI18" s="24">
        <v>5</v>
      </c>
      <c r="AJ18" s="24">
        <v>5</v>
      </c>
      <c r="AK18" s="24">
        <v>4</v>
      </c>
      <c r="AL18" s="24">
        <v>2</v>
      </c>
      <c r="AM18" s="24">
        <v>1</v>
      </c>
      <c r="AN18" s="24">
        <v>1</v>
      </c>
      <c r="AO18" s="24">
        <v>1</v>
      </c>
      <c r="AP18" s="24">
        <v>1</v>
      </c>
      <c r="AQ18" s="24"/>
      <c r="AR18" s="24"/>
      <c r="AS18" s="24"/>
      <c r="AT18" s="24"/>
    </row>
    <row r="19" spans="1:46" x14ac:dyDescent="0.2">
      <c r="A19" s="35" t="s">
        <v>44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>
        <v>4</v>
      </c>
      <c r="AM19" s="24">
        <v>2</v>
      </c>
      <c r="AN19" s="24">
        <v>2</v>
      </c>
      <c r="AO19" s="24">
        <v>2</v>
      </c>
      <c r="AP19" s="24">
        <v>1</v>
      </c>
      <c r="AQ19" s="24"/>
      <c r="AR19" s="24"/>
      <c r="AS19" s="24"/>
      <c r="AT19" s="24"/>
    </row>
    <row r="20" spans="1:46" x14ac:dyDescent="0.2">
      <c r="A20" s="35" t="s">
        <v>45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>
        <v>9</v>
      </c>
      <c r="AG20" s="24">
        <v>16</v>
      </c>
      <c r="AH20" s="24">
        <v>26</v>
      </c>
      <c r="AI20" s="24">
        <v>20</v>
      </c>
      <c r="AJ20" s="24">
        <v>46</v>
      </c>
      <c r="AK20" s="24">
        <v>64</v>
      </c>
      <c r="AL20" s="24">
        <v>61</v>
      </c>
      <c r="AM20" s="24">
        <v>55</v>
      </c>
      <c r="AN20" s="24">
        <v>56</v>
      </c>
      <c r="AO20" s="24">
        <v>45</v>
      </c>
      <c r="AP20" s="24">
        <v>36</v>
      </c>
      <c r="AQ20" s="24">
        <v>34</v>
      </c>
      <c r="AR20" s="24">
        <v>29</v>
      </c>
      <c r="AS20" s="24">
        <v>24</v>
      </c>
      <c r="AT20" s="24">
        <v>13</v>
      </c>
    </row>
    <row r="21" spans="1:46" x14ac:dyDescent="0.2">
      <c r="A21" s="35" t="s">
        <v>46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>
        <v>1</v>
      </c>
      <c r="AG21" s="24">
        <v>2</v>
      </c>
      <c r="AH21" s="24">
        <v>3</v>
      </c>
      <c r="AI21" s="24">
        <v>3</v>
      </c>
      <c r="AJ21" s="24">
        <v>2</v>
      </c>
      <c r="AK21" s="24">
        <v>1</v>
      </c>
      <c r="AL21" s="24"/>
      <c r="AM21" s="24"/>
      <c r="AN21" s="24"/>
      <c r="AO21" s="24"/>
      <c r="AP21" s="24"/>
      <c r="AQ21" s="24"/>
      <c r="AR21" s="24"/>
      <c r="AS21" s="24"/>
      <c r="AT21" s="24"/>
    </row>
    <row r="22" spans="1:46" ht="24" x14ac:dyDescent="0.2">
      <c r="A22" s="35" t="s">
        <v>47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>
        <v>193</v>
      </c>
      <c r="AJ22" s="24">
        <v>286</v>
      </c>
      <c r="AK22" s="24">
        <v>265</v>
      </c>
      <c r="AL22" s="24">
        <v>182</v>
      </c>
      <c r="AM22" s="24">
        <v>107</v>
      </c>
      <c r="AN22" s="24">
        <v>65</v>
      </c>
      <c r="AO22" s="24">
        <v>48</v>
      </c>
      <c r="AP22" s="24">
        <v>48</v>
      </c>
      <c r="AQ22" s="24">
        <v>42</v>
      </c>
      <c r="AR22" s="24">
        <v>45</v>
      </c>
      <c r="AS22" s="24">
        <v>44</v>
      </c>
      <c r="AT22" s="24">
        <v>45</v>
      </c>
    </row>
    <row r="23" spans="1:46" x14ac:dyDescent="0.2">
      <c r="A23" s="35" t="s">
        <v>48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>
        <v>1</v>
      </c>
      <c r="AG23" s="24">
        <v>2</v>
      </c>
      <c r="AH23" s="24">
        <v>5</v>
      </c>
      <c r="AI23" s="24">
        <v>3</v>
      </c>
      <c r="AJ23" s="24">
        <v>1</v>
      </c>
      <c r="AK23" s="24">
        <v>0</v>
      </c>
      <c r="AL23" s="24"/>
      <c r="AM23" s="24"/>
      <c r="AN23" s="24"/>
      <c r="AO23" s="24"/>
      <c r="AP23" s="24"/>
      <c r="AQ23" s="24"/>
      <c r="AR23" s="24"/>
      <c r="AS23" s="24"/>
      <c r="AT23" s="24"/>
    </row>
    <row r="24" spans="1:46" x14ac:dyDescent="0.2">
      <c r="A24" s="35" t="s">
        <v>49</v>
      </c>
      <c r="B24" s="24"/>
      <c r="C24" s="24"/>
      <c r="D24" s="24">
        <v>1170</v>
      </c>
      <c r="E24" s="24"/>
      <c r="F24" s="24">
        <v>1915</v>
      </c>
      <c r="G24" s="24">
        <v>2202</v>
      </c>
      <c r="H24" s="24">
        <v>2508</v>
      </c>
      <c r="I24" s="24">
        <v>2801</v>
      </c>
      <c r="J24" s="24"/>
      <c r="K24" s="24"/>
      <c r="L24" s="24"/>
      <c r="M24" s="24">
        <v>207</v>
      </c>
      <c r="N24" s="24">
        <v>188</v>
      </c>
      <c r="O24" s="24">
        <v>183</v>
      </c>
      <c r="P24" s="24">
        <v>288</v>
      </c>
      <c r="Q24" s="24">
        <v>320</v>
      </c>
      <c r="R24" s="24">
        <v>332</v>
      </c>
      <c r="S24" s="24">
        <v>311</v>
      </c>
      <c r="T24" s="24">
        <v>254</v>
      </c>
      <c r="U24" s="24">
        <v>180</v>
      </c>
      <c r="V24" s="24">
        <v>125</v>
      </c>
      <c r="W24" s="24">
        <v>91</v>
      </c>
      <c r="X24" s="24">
        <v>63</v>
      </c>
      <c r="Y24" s="24">
        <v>39</v>
      </c>
      <c r="Z24" s="24">
        <v>34</v>
      </c>
      <c r="AA24" s="24">
        <v>34</v>
      </c>
      <c r="AB24" s="24">
        <v>37</v>
      </c>
      <c r="AC24" s="24">
        <v>49</v>
      </c>
      <c r="AD24" s="24">
        <v>45</v>
      </c>
      <c r="AE24" s="24">
        <v>45</v>
      </c>
      <c r="AF24" s="24">
        <v>49</v>
      </c>
      <c r="AG24" s="24">
        <v>55</v>
      </c>
      <c r="AH24" s="24">
        <v>58</v>
      </c>
      <c r="AI24" s="24">
        <v>40</v>
      </c>
      <c r="AJ24" s="24">
        <v>87</v>
      </c>
      <c r="AK24" s="24">
        <v>142</v>
      </c>
      <c r="AL24" s="24">
        <v>197</v>
      </c>
      <c r="AM24" s="24">
        <v>239</v>
      </c>
      <c r="AN24" s="24">
        <v>261</v>
      </c>
      <c r="AO24" s="24">
        <v>245</v>
      </c>
      <c r="AP24" s="24">
        <v>224</v>
      </c>
      <c r="AQ24" s="24">
        <v>218</v>
      </c>
      <c r="AR24" s="24">
        <v>194</v>
      </c>
      <c r="AS24" s="24">
        <v>176</v>
      </c>
      <c r="AT24" s="24">
        <v>151</v>
      </c>
    </row>
    <row r="25" spans="1:46" x14ac:dyDescent="0.2">
      <c r="A25" s="35" t="s">
        <v>111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>
        <v>3</v>
      </c>
      <c r="AA25" s="24">
        <v>3</v>
      </c>
      <c r="AB25" s="24">
        <v>4</v>
      </c>
      <c r="AC25" s="24">
        <v>1</v>
      </c>
      <c r="AD25" s="24">
        <v>0</v>
      </c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</row>
    <row r="26" spans="1:46" ht="24" x14ac:dyDescent="0.2">
      <c r="A26" s="35" t="s">
        <v>91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>
        <v>145</v>
      </c>
      <c r="AA26" s="24">
        <v>114</v>
      </c>
      <c r="AB26" s="24">
        <v>107</v>
      </c>
      <c r="AC26" s="24">
        <v>96</v>
      </c>
      <c r="AD26" s="24">
        <v>82</v>
      </c>
      <c r="AE26" s="24">
        <v>71</v>
      </c>
      <c r="AF26" s="24">
        <v>65</v>
      </c>
      <c r="AG26" s="24">
        <v>58</v>
      </c>
      <c r="AH26" s="24">
        <v>50</v>
      </c>
      <c r="AI26" s="24">
        <v>32</v>
      </c>
      <c r="AJ26" s="24">
        <v>27</v>
      </c>
      <c r="AK26" s="24">
        <v>15</v>
      </c>
      <c r="AL26" s="24"/>
      <c r="AM26" s="24"/>
      <c r="AN26" s="24"/>
      <c r="AO26" s="24"/>
      <c r="AP26" s="24"/>
      <c r="AQ26" s="24"/>
      <c r="AR26" s="24"/>
      <c r="AS26" s="24"/>
      <c r="AT26" s="24"/>
    </row>
    <row r="27" spans="1:46" x14ac:dyDescent="0.2">
      <c r="A27" s="35" t="s">
        <v>110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>
        <v>5</v>
      </c>
      <c r="AA27" s="24">
        <v>4</v>
      </c>
      <c r="AB27" s="24">
        <v>3</v>
      </c>
      <c r="AC27" s="24">
        <v>2</v>
      </c>
      <c r="AD27" s="24">
        <v>1</v>
      </c>
      <c r="AE27" s="24">
        <v>0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</row>
    <row r="28" spans="1:46" x14ac:dyDescent="0.2">
      <c r="A28" s="35" t="s">
        <v>112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>
        <v>34</v>
      </c>
      <c r="AA28" s="24">
        <v>26</v>
      </c>
      <c r="AB28" s="24">
        <v>8</v>
      </c>
      <c r="AC28" s="24">
        <v>1</v>
      </c>
      <c r="AD28" s="24">
        <v>0</v>
      </c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  <row r="29" spans="1:46" x14ac:dyDescent="0.2">
      <c r="A29" s="35" t="s">
        <v>113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>
        <v>18</v>
      </c>
      <c r="AA29" s="24">
        <v>13</v>
      </c>
      <c r="AB29" s="24">
        <v>4</v>
      </c>
      <c r="AC29" s="24">
        <v>0</v>
      </c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</row>
    <row r="30" spans="1:46" s="26" customFormat="1" x14ac:dyDescent="0.2">
      <c r="A30" s="36" t="s">
        <v>73</v>
      </c>
      <c r="B30" s="25">
        <f t="shared" ref="B30" si="45">SUM(B17:B29)</f>
        <v>0</v>
      </c>
      <c r="C30" s="25">
        <f t="shared" ref="C30" si="46">SUM(C17:C29)</f>
        <v>0</v>
      </c>
      <c r="D30" s="25">
        <f t="shared" ref="D30" si="47">SUM(D17:D29)</f>
        <v>1170</v>
      </c>
      <c r="E30" s="25">
        <f t="shared" ref="E30" si="48">SUM(E17:E29)</f>
        <v>0</v>
      </c>
      <c r="F30" s="25">
        <f t="shared" ref="F30" si="49">SUM(F17:F29)</f>
        <v>1915</v>
      </c>
      <c r="G30" s="25">
        <f t="shared" ref="G30" si="50">SUM(G17:G29)</f>
        <v>2202</v>
      </c>
      <c r="H30" s="25">
        <f t="shared" ref="H30" si="51">SUM(H17:H29)</f>
        <v>2508</v>
      </c>
      <c r="I30" s="25">
        <f t="shared" ref="I30" si="52">SUM(I17:I29)</f>
        <v>2801</v>
      </c>
      <c r="J30" s="25">
        <f t="shared" ref="J30" si="53">SUM(J17:J29)</f>
        <v>0</v>
      </c>
      <c r="K30" s="25">
        <f t="shared" ref="K30" si="54">SUM(K17:K29)</f>
        <v>0</v>
      </c>
      <c r="L30" s="25">
        <f t="shared" ref="L30" si="55">SUM(L17:L29)</f>
        <v>0</v>
      </c>
      <c r="M30" s="25">
        <f t="shared" ref="M30" si="56">SUM(M17:M29)</f>
        <v>468</v>
      </c>
      <c r="N30" s="25">
        <f t="shared" ref="N30" si="57">SUM(N17:N29)</f>
        <v>660</v>
      </c>
      <c r="O30" s="25">
        <f t="shared" ref="O30" si="58">SUM(O17:O29)</f>
        <v>1052</v>
      </c>
      <c r="P30" s="25">
        <f t="shared" ref="P30" si="59">SUM(P17:P29)</f>
        <v>946</v>
      </c>
      <c r="Q30" s="25">
        <f t="shared" ref="Q30" si="60">SUM(Q17:Q29)</f>
        <v>1429</v>
      </c>
      <c r="R30" s="25">
        <f t="shared" ref="R30" si="61">SUM(R17:R29)</f>
        <v>1185</v>
      </c>
      <c r="S30" s="25">
        <f t="shared" ref="S30" si="62">SUM(S17:S29)</f>
        <v>1167</v>
      </c>
      <c r="T30" s="25">
        <f t="shared" ref="T30" si="63">SUM(T17:T29)</f>
        <v>1077</v>
      </c>
      <c r="U30" s="25">
        <f t="shared" ref="U30" si="64">SUM(U17:U29)</f>
        <v>1369</v>
      </c>
      <c r="V30" s="25">
        <f t="shared" ref="V30" si="65">SUM(V17:V29)</f>
        <v>668</v>
      </c>
      <c r="W30" s="25">
        <f t="shared" ref="W30" si="66">SUM(W17:W29)</f>
        <v>574</v>
      </c>
      <c r="X30" s="25">
        <f t="shared" ref="X30" si="67">SUM(X17:X29)</f>
        <v>530</v>
      </c>
      <c r="Y30" s="25">
        <f t="shared" ref="Y30" si="68">SUM(Y17:Y29)</f>
        <v>407</v>
      </c>
      <c r="Z30" s="25">
        <f t="shared" ref="Z30" si="69">SUM(Z17:Z29)</f>
        <v>312</v>
      </c>
      <c r="AA30" s="25">
        <f t="shared" ref="AA30" si="70">SUM(AA17:AA29)</f>
        <v>221</v>
      </c>
      <c r="AB30" s="25">
        <f t="shared" ref="AB30" si="71">SUM(AB17:AB29)</f>
        <v>171</v>
      </c>
      <c r="AC30" s="25">
        <f t="shared" ref="AC30" si="72">SUM(AC17:AC29)</f>
        <v>150</v>
      </c>
      <c r="AD30" s="25">
        <f t="shared" ref="AD30" si="73">SUM(AD17:AD29)</f>
        <v>128</v>
      </c>
      <c r="AE30" s="25">
        <f t="shared" ref="AE30" si="74">SUM(AE17:AE29)</f>
        <v>116</v>
      </c>
      <c r="AF30" s="25">
        <f t="shared" ref="AF30" si="75">SUM(AF17:AF29)</f>
        <v>127</v>
      </c>
      <c r="AG30" s="25">
        <f t="shared" ref="AG30" si="76">SUM(AG17:AG29)</f>
        <v>141</v>
      </c>
      <c r="AH30" s="25">
        <f t="shared" ref="AH30" si="77">SUM(AH17:AH29)</f>
        <v>153</v>
      </c>
      <c r="AI30" s="25">
        <f t="shared" ref="AI30" si="78">SUM(AI17:AI29)</f>
        <v>296</v>
      </c>
      <c r="AJ30" s="25">
        <f t="shared" ref="AJ30" si="79">SUM(AJ17:AJ29)</f>
        <v>454</v>
      </c>
      <c r="AK30" s="25">
        <f t="shared" ref="AK30" si="80">SUM(AK17:AK29)</f>
        <v>491</v>
      </c>
      <c r="AL30" s="25">
        <f t="shared" ref="AL30" si="81">SUM(AL17:AL29)</f>
        <v>446</v>
      </c>
      <c r="AM30" s="25">
        <f t="shared" ref="AM30" si="82">SUM(AM17:AM29)</f>
        <v>404</v>
      </c>
      <c r="AN30" s="25">
        <f t="shared" ref="AN30" si="83">SUM(AN17:AN29)</f>
        <v>385</v>
      </c>
      <c r="AO30" s="25">
        <f t="shared" ref="AO30" si="84">SUM(AO17:AO29)</f>
        <v>341</v>
      </c>
      <c r="AP30" s="25">
        <f t="shared" ref="AP30" si="85">SUM(AP17:AP29)</f>
        <v>310</v>
      </c>
      <c r="AQ30" s="25">
        <f t="shared" ref="AQ30" si="86">SUM(AQ17:AQ29)</f>
        <v>294</v>
      </c>
      <c r="AR30" s="25">
        <f t="shared" ref="AR30" si="87">SUM(AR17:AR29)</f>
        <v>268</v>
      </c>
      <c r="AS30" s="25">
        <f t="shared" ref="AS30" si="88">SUM(AS17:AS29)</f>
        <v>244</v>
      </c>
      <c r="AT30" s="25">
        <f t="shared" ref="AT30" si="89">SUM(AT17:AT29)</f>
        <v>209</v>
      </c>
    </row>
    <row r="31" spans="1:46" x14ac:dyDescent="0.2">
      <c r="A31" s="35" t="s">
        <v>50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>
        <v>20</v>
      </c>
      <c r="AB31" s="24">
        <v>20</v>
      </c>
      <c r="AC31" s="24">
        <v>20</v>
      </c>
      <c r="AD31" s="24">
        <v>40</v>
      </c>
      <c r="AE31" s="24">
        <v>64</v>
      </c>
      <c r="AF31" s="24">
        <v>108</v>
      </c>
      <c r="AG31" s="24">
        <v>145</v>
      </c>
      <c r="AH31" s="24">
        <v>152</v>
      </c>
      <c r="AI31" s="24">
        <v>154</v>
      </c>
      <c r="AJ31" s="24">
        <v>151</v>
      </c>
      <c r="AK31" s="24">
        <v>146</v>
      </c>
      <c r="AL31" s="24">
        <v>128</v>
      </c>
      <c r="AM31" s="24">
        <v>119</v>
      </c>
      <c r="AN31" s="24">
        <v>102</v>
      </c>
      <c r="AO31" s="24">
        <v>95</v>
      </c>
      <c r="AP31" s="24">
        <v>94</v>
      </c>
      <c r="AQ31" s="24">
        <v>92</v>
      </c>
      <c r="AR31" s="24">
        <v>90</v>
      </c>
      <c r="AS31" s="24">
        <v>81</v>
      </c>
      <c r="AT31" s="24">
        <v>76</v>
      </c>
    </row>
    <row r="32" spans="1:46" x14ac:dyDescent="0.2">
      <c r="A32" s="35" t="s">
        <v>114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>
        <v>20</v>
      </c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</row>
    <row r="33" spans="1:46" x14ac:dyDescent="0.2">
      <c r="A33" s="35" t="s">
        <v>51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>
        <v>62</v>
      </c>
      <c r="AA33" s="24">
        <v>70</v>
      </c>
      <c r="AB33" s="24">
        <v>85</v>
      </c>
      <c r="AC33" s="24">
        <v>80</v>
      </c>
      <c r="AD33" s="24">
        <v>77</v>
      </c>
      <c r="AE33" s="24">
        <v>73</v>
      </c>
      <c r="AF33" s="24">
        <v>66</v>
      </c>
      <c r="AG33" s="24">
        <v>43</v>
      </c>
      <c r="AH33" s="24">
        <v>29</v>
      </c>
      <c r="AI33" s="24">
        <v>20</v>
      </c>
      <c r="AJ33" s="24">
        <v>15</v>
      </c>
      <c r="AK33" s="24">
        <v>7</v>
      </c>
      <c r="AL33" s="24">
        <v>5</v>
      </c>
      <c r="AM33" s="24">
        <v>3</v>
      </c>
      <c r="AN33" s="24">
        <v>1</v>
      </c>
      <c r="AO33" s="24"/>
      <c r="AP33" s="24">
        <v>2</v>
      </c>
      <c r="AQ33" s="24"/>
      <c r="AR33" s="24"/>
      <c r="AS33" s="24"/>
      <c r="AT33" s="24"/>
    </row>
    <row r="34" spans="1:46" x14ac:dyDescent="0.2">
      <c r="A34" s="35" t="s">
        <v>52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>
        <v>19</v>
      </c>
      <c r="AA34" s="24">
        <v>27</v>
      </c>
      <c r="AB34" s="24">
        <v>33</v>
      </c>
      <c r="AC34" s="24">
        <v>29</v>
      </c>
      <c r="AD34" s="24">
        <v>26</v>
      </c>
      <c r="AE34" s="24">
        <v>22</v>
      </c>
      <c r="AF34" s="24">
        <v>18</v>
      </c>
      <c r="AG34" s="24">
        <v>14</v>
      </c>
      <c r="AH34" s="24">
        <v>11</v>
      </c>
      <c r="AI34" s="24">
        <v>8</v>
      </c>
      <c r="AJ34" s="24">
        <v>5</v>
      </c>
      <c r="AK34" s="24">
        <v>3</v>
      </c>
      <c r="AL34" s="24">
        <v>3</v>
      </c>
      <c r="AM34" s="24">
        <v>3</v>
      </c>
      <c r="AN34" s="24">
        <v>3</v>
      </c>
      <c r="AO34" s="24">
        <v>2</v>
      </c>
      <c r="AP34" s="24"/>
      <c r="AQ34" s="24">
        <v>1</v>
      </c>
      <c r="AR34" s="24">
        <v>1</v>
      </c>
      <c r="AS34" s="24">
        <v>1</v>
      </c>
      <c r="AT34" s="24">
        <v>1</v>
      </c>
    </row>
    <row r="35" spans="1:46" x14ac:dyDescent="0.2">
      <c r="A35" s="35" t="s">
        <v>71</v>
      </c>
      <c r="B35" s="24">
        <v>16</v>
      </c>
      <c r="C35" s="24">
        <v>5</v>
      </c>
      <c r="D35" s="24">
        <f>3+11</f>
        <v>14</v>
      </c>
      <c r="E35" s="24"/>
      <c r="F35" s="24">
        <f>9+5</f>
        <v>14</v>
      </c>
      <c r="G35" s="24">
        <f>11+6</f>
        <v>17</v>
      </c>
      <c r="H35" s="24">
        <v>26</v>
      </c>
      <c r="I35" s="24">
        <v>47</v>
      </c>
      <c r="J35" s="24"/>
      <c r="K35" s="24"/>
      <c r="L35" s="24"/>
      <c r="M35" s="24">
        <v>75</v>
      </c>
      <c r="N35" s="24">
        <v>70</v>
      </c>
      <c r="O35" s="24">
        <v>72</v>
      </c>
      <c r="P35" s="24">
        <v>66</v>
      </c>
      <c r="Q35" s="24">
        <v>64</v>
      </c>
      <c r="R35" s="24">
        <v>57</v>
      </c>
      <c r="S35" s="24">
        <v>50</v>
      </c>
      <c r="T35" s="24">
        <v>55</v>
      </c>
      <c r="U35" s="24">
        <v>73</v>
      </c>
      <c r="V35" s="24">
        <v>90</v>
      </c>
      <c r="W35" s="24">
        <v>96</v>
      </c>
      <c r="X35" s="24">
        <v>102</v>
      </c>
      <c r="Y35" s="24">
        <v>111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</row>
    <row r="36" spans="1:46" x14ac:dyDescent="0.2">
      <c r="A36" s="35" t="s">
        <v>82</v>
      </c>
      <c r="B36" s="24"/>
      <c r="C36" s="24"/>
      <c r="D36" s="24"/>
      <c r="E36" s="24"/>
      <c r="F36" s="24"/>
      <c r="G36" s="24">
        <v>1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</row>
    <row r="37" spans="1:46" s="26" customFormat="1" x14ac:dyDescent="0.2">
      <c r="A37" s="36" t="s">
        <v>73</v>
      </c>
      <c r="B37" s="25">
        <f t="shared" ref="B37" si="90">SUM(B31:B36)</f>
        <v>16</v>
      </c>
      <c r="C37" s="25">
        <f t="shared" ref="C37" si="91">SUM(C31:C36)</f>
        <v>5</v>
      </c>
      <c r="D37" s="25">
        <f t="shared" ref="D37" si="92">SUM(D31:D36)</f>
        <v>14</v>
      </c>
      <c r="E37" s="25">
        <f t="shared" ref="E37" si="93">SUM(E31:E36)</f>
        <v>0</v>
      </c>
      <c r="F37" s="25">
        <f t="shared" ref="F37" si="94">SUM(F31:F36)</f>
        <v>14</v>
      </c>
      <c r="G37" s="25">
        <f t="shared" ref="G37" si="95">SUM(G31:G36)</f>
        <v>18</v>
      </c>
      <c r="H37" s="25">
        <f t="shared" ref="H37" si="96">SUM(H31:H36)</f>
        <v>26</v>
      </c>
      <c r="I37" s="25">
        <f t="shared" ref="I37" si="97">SUM(I31:I36)</f>
        <v>47</v>
      </c>
      <c r="J37" s="25">
        <f t="shared" ref="J37" si="98">SUM(J31:J36)</f>
        <v>0</v>
      </c>
      <c r="K37" s="25">
        <f t="shared" ref="K37" si="99">SUM(K31:K36)</f>
        <v>0</v>
      </c>
      <c r="L37" s="25">
        <f t="shared" ref="L37" si="100">SUM(L31:L36)</f>
        <v>0</v>
      </c>
      <c r="M37" s="25">
        <f t="shared" ref="M37" si="101">SUM(M31:M36)</f>
        <v>75</v>
      </c>
      <c r="N37" s="25">
        <f t="shared" ref="N37" si="102">SUM(N31:N36)</f>
        <v>70</v>
      </c>
      <c r="O37" s="25">
        <f t="shared" ref="O37" si="103">SUM(O31:O36)</f>
        <v>72</v>
      </c>
      <c r="P37" s="25">
        <f t="shared" ref="P37" si="104">SUM(P31:P36)</f>
        <v>66</v>
      </c>
      <c r="Q37" s="25">
        <f t="shared" ref="Q37" si="105">SUM(Q31:Q36)</f>
        <v>64</v>
      </c>
      <c r="R37" s="25">
        <f t="shared" ref="R37" si="106">SUM(R31:R36)</f>
        <v>57</v>
      </c>
      <c r="S37" s="25">
        <f t="shared" ref="S37" si="107">SUM(S31:S36)</f>
        <v>50</v>
      </c>
      <c r="T37" s="25">
        <f t="shared" ref="T37" si="108">SUM(T31:T36)</f>
        <v>55</v>
      </c>
      <c r="U37" s="25">
        <f t="shared" ref="U37" si="109">SUM(U31:U36)</f>
        <v>73</v>
      </c>
      <c r="V37" s="25">
        <f t="shared" ref="V37" si="110">SUM(V31:V36)</f>
        <v>90</v>
      </c>
      <c r="W37" s="25">
        <f t="shared" ref="W37" si="111">SUM(W31:W36)</f>
        <v>96</v>
      </c>
      <c r="X37" s="25">
        <f t="shared" ref="X37" si="112">SUM(X31:X36)</f>
        <v>102</v>
      </c>
      <c r="Y37" s="25">
        <f t="shared" ref="Y37" si="113">SUM(Y31:Y36)</f>
        <v>111</v>
      </c>
      <c r="Z37" s="25">
        <f t="shared" ref="Z37" si="114">SUM(Z31:Z36)</f>
        <v>101</v>
      </c>
      <c r="AA37" s="25">
        <f t="shared" ref="AA37" si="115">SUM(AA31:AA36)</f>
        <v>117</v>
      </c>
      <c r="AB37" s="25">
        <f t="shared" ref="AB37" si="116">SUM(AB31:AB36)</f>
        <v>138</v>
      </c>
      <c r="AC37" s="25">
        <f t="shared" ref="AC37" si="117">SUM(AC31:AC36)</f>
        <v>129</v>
      </c>
      <c r="AD37" s="25">
        <f t="shared" ref="AD37" si="118">SUM(AD31:AD36)</f>
        <v>143</v>
      </c>
      <c r="AE37" s="25">
        <f t="shared" ref="AE37" si="119">SUM(AE31:AE36)</f>
        <v>159</v>
      </c>
      <c r="AF37" s="25">
        <f t="shared" ref="AF37" si="120">SUM(AF31:AF36)</f>
        <v>192</v>
      </c>
      <c r="AG37" s="25">
        <f t="shared" ref="AG37" si="121">SUM(AG31:AG36)</f>
        <v>202</v>
      </c>
      <c r="AH37" s="25">
        <f t="shared" ref="AH37" si="122">SUM(AH31:AH36)</f>
        <v>192</v>
      </c>
      <c r="AI37" s="25">
        <f t="shared" ref="AI37" si="123">SUM(AI31:AI36)</f>
        <v>182</v>
      </c>
      <c r="AJ37" s="25">
        <f t="shared" ref="AJ37" si="124">SUM(AJ31:AJ36)</f>
        <v>171</v>
      </c>
      <c r="AK37" s="25">
        <f t="shared" ref="AK37" si="125">SUM(AK31:AK36)</f>
        <v>156</v>
      </c>
      <c r="AL37" s="25">
        <f t="shared" ref="AL37" si="126">SUM(AL31:AL36)</f>
        <v>136</v>
      </c>
      <c r="AM37" s="25">
        <f t="shared" ref="AM37" si="127">SUM(AM31:AM36)</f>
        <v>125</v>
      </c>
      <c r="AN37" s="25">
        <f t="shared" ref="AN37" si="128">SUM(AN31:AN36)</f>
        <v>106</v>
      </c>
      <c r="AO37" s="25">
        <f t="shared" ref="AO37" si="129">SUM(AO31:AO36)</f>
        <v>97</v>
      </c>
      <c r="AP37" s="25">
        <f t="shared" ref="AP37" si="130">SUM(AP31:AP36)</f>
        <v>96</v>
      </c>
      <c r="AQ37" s="25">
        <f t="shared" ref="AQ37" si="131">SUM(AQ31:AQ36)</f>
        <v>93</v>
      </c>
      <c r="AR37" s="25">
        <f t="shared" ref="AR37" si="132">SUM(AR31:AR36)</f>
        <v>91</v>
      </c>
      <c r="AS37" s="25">
        <f t="shared" ref="AS37" si="133">SUM(AS31:AS36)</f>
        <v>82</v>
      </c>
      <c r="AT37" s="25">
        <f t="shared" ref="AT37" si="134">SUM(AT31:AT36)</f>
        <v>77</v>
      </c>
    </row>
    <row r="38" spans="1:46" ht="24" x14ac:dyDescent="0.2">
      <c r="A38" s="35" t="s">
        <v>87</v>
      </c>
      <c r="B38" s="24"/>
      <c r="C38" s="24"/>
      <c r="D38" s="24">
        <v>1</v>
      </c>
      <c r="E38" s="24"/>
      <c r="F38" s="24">
        <v>2</v>
      </c>
      <c r="G38" s="24">
        <v>3</v>
      </c>
      <c r="H38" s="24">
        <v>3</v>
      </c>
      <c r="I38" s="24">
        <v>6</v>
      </c>
      <c r="J38" s="24"/>
      <c r="K38" s="24"/>
      <c r="L38" s="24"/>
      <c r="M38" s="24">
        <v>146</v>
      </c>
      <c r="N38" s="24">
        <v>214</v>
      </c>
      <c r="O38" s="24">
        <v>268</v>
      </c>
      <c r="P38" s="24">
        <v>385</v>
      </c>
      <c r="Q38" s="24">
        <v>378</v>
      </c>
      <c r="R38" s="24">
        <v>350</v>
      </c>
      <c r="S38" s="24">
        <v>351</v>
      </c>
      <c r="T38" s="24">
        <v>299</v>
      </c>
      <c r="U38" s="24">
        <v>242</v>
      </c>
      <c r="V38" s="24">
        <v>228</v>
      </c>
      <c r="W38" s="24">
        <v>192</v>
      </c>
      <c r="X38" s="24">
        <v>237</v>
      </c>
      <c r="Y38" s="24">
        <v>279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</row>
    <row r="39" spans="1:46" x14ac:dyDescent="0.2">
      <c r="A39" s="35" t="s">
        <v>94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>
        <v>29</v>
      </c>
      <c r="AA39" s="24">
        <v>13</v>
      </c>
      <c r="AB39" s="24">
        <v>8</v>
      </c>
      <c r="AC39" s="24">
        <v>7</v>
      </c>
      <c r="AD39" s="24">
        <v>2</v>
      </c>
      <c r="AE39" s="24">
        <v>2</v>
      </c>
      <c r="AF39" s="24">
        <v>1</v>
      </c>
      <c r="AG39" s="24">
        <v>0</v>
      </c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</row>
    <row r="40" spans="1:46" x14ac:dyDescent="0.2">
      <c r="A40" s="35" t="s">
        <v>53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>
        <v>39</v>
      </c>
      <c r="AA40" s="24">
        <v>23</v>
      </c>
      <c r="AB40" s="24">
        <v>18</v>
      </c>
      <c r="AC40" s="24">
        <v>10</v>
      </c>
      <c r="AD40" s="24">
        <v>7</v>
      </c>
      <c r="AE40" s="24">
        <v>4</v>
      </c>
      <c r="AF40" s="24">
        <v>2</v>
      </c>
      <c r="AG40" s="24">
        <v>1</v>
      </c>
      <c r="AH40" s="24">
        <v>0</v>
      </c>
      <c r="AI40" s="24">
        <v>178</v>
      </c>
      <c r="AJ40" s="24">
        <v>233</v>
      </c>
      <c r="AK40" s="24">
        <v>323</v>
      </c>
      <c r="AL40" s="24">
        <v>410</v>
      </c>
      <c r="AM40" s="24">
        <v>476</v>
      </c>
      <c r="AN40" s="24">
        <v>500</v>
      </c>
      <c r="AO40" s="24">
        <v>482</v>
      </c>
      <c r="AP40" s="24">
        <v>449</v>
      </c>
      <c r="AQ40" s="24">
        <v>425</v>
      </c>
      <c r="AR40" s="24">
        <v>426</v>
      </c>
      <c r="AS40" s="24">
        <v>381</v>
      </c>
      <c r="AT40" s="24">
        <v>332</v>
      </c>
    </row>
    <row r="41" spans="1:46" x14ac:dyDescent="0.2">
      <c r="A41" s="35" t="s">
        <v>54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>
        <v>41</v>
      </c>
      <c r="AA41" s="24">
        <v>49</v>
      </c>
      <c r="AB41" s="24">
        <v>73</v>
      </c>
      <c r="AC41" s="24">
        <v>75</v>
      </c>
      <c r="AD41" s="24">
        <v>60</v>
      </c>
      <c r="AE41" s="24">
        <v>42</v>
      </c>
      <c r="AF41" s="24">
        <v>55</v>
      </c>
      <c r="AG41" s="24">
        <v>74</v>
      </c>
      <c r="AH41" s="24">
        <v>56</v>
      </c>
      <c r="AI41" s="24">
        <v>29</v>
      </c>
      <c r="AJ41" s="24">
        <v>16</v>
      </c>
      <c r="AK41" s="24">
        <v>9</v>
      </c>
      <c r="AL41" s="24">
        <v>4</v>
      </c>
      <c r="AM41" s="24">
        <v>1</v>
      </c>
      <c r="AN41" s="24">
        <v>1</v>
      </c>
      <c r="AO41" s="24"/>
      <c r="AP41" s="24"/>
      <c r="AQ41" s="24"/>
      <c r="AR41" s="24"/>
      <c r="AS41" s="24"/>
      <c r="AT41" s="24"/>
    </row>
    <row r="42" spans="1:46" x14ac:dyDescent="0.2">
      <c r="A42" s="35" t="s">
        <v>55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>
        <v>8</v>
      </c>
      <c r="AA42" s="24">
        <v>12</v>
      </c>
      <c r="AB42" s="24">
        <v>11</v>
      </c>
      <c r="AC42" s="24">
        <v>14</v>
      </c>
      <c r="AD42" s="24">
        <v>9</v>
      </c>
      <c r="AE42" s="24">
        <v>8</v>
      </c>
      <c r="AF42" s="24">
        <v>24</v>
      </c>
      <c r="AG42" s="24">
        <v>18</v>
      </c>
      <c r="AH42" s="24">
        <v>21</v>
      </c>
      <c r="AI42" s="24">
        <v>9</v>
      </c>
      <c r="AJ42" s="24">
        <v>4</v>
      </c>
      <c r="AK42" s="24">
        <v>0</v>
      </c>
      <c r="AL42" s="24"/>
      <c r="AM42" s="24"/>
      <c r="AN42" s="24"/>
      <c r="AO42" s="24"/>
      <c r="AP42" s="24"/>
      <c r="AQ42" s="24"/>
      <c r="AR42" s="24"/>
      <c r="AS42" s="24"/>
      <c r="AT42" s="24"/>
    </row>
    <row r="43" spans="1:46" x14ac:dyDescent="0.2">
      <c r="A43" s="35" t="s">
        <v>56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>
        <v>43</v>
      </c>
      <c r="AA43" s="24">
        <v>60</v>
      </c>
      <c r="AB43" s="24">
        <v>76</v>
      </c>
      <c r="AC43" s="24">
        <v>90</v>
      </c>
      <c r="AD43" s="24">
        <v>112</v>
      </c>
      <c r="AE43" s="24">
        <v>124</v>
      </c>
      <c r="AF43" s="24">
        <v>145</v>
      </c>
      <c r="AG43" s="24">
        <v>170</v>
      </c>
      <c r="AH43" s="24">
        <v>203</v>
      </c>
      <c r="AI43" s="24">
        <v>142</v>
      </c>
      <c r="AJ43" s="24">
        <v>105</v>
      </c>
      <c r="AK43" s="24">
        <v>68</v>
      </c>
      <c r="AL43" s="24">
        <v>43</v>
      </c>
      <c r="AM43" s="24">
        <v>32</v>
      </c>
      <c r="AN43" s="24">
        <v>21</v>
      </c>
      <c r="AO43" s="24">
        <v>17</v>
      </c>
      <c r="AP43" s="24">
        <v>11</v>
      </c>
      <c r="AQ43" s="24">
        <v>9</v>
      </c>
      <c r="AR43" s="24">
        <v>6</v>
      </c>
      <c r="AS43" s="24">
        <v>5</v>
      </c>
      <c r="AT43" s="24">
        <v>4</v>
      </c>
    </row>
    <row r="44" spans="1:46" x14ac:dyDescent="0.2">
      <c r="A44" s="35" t="s">
        <v>57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>
        <v>109</v>
      </c>
      <c r="AA44" s="24">
        <v>121</v>
      </c>
      <c r="AB44" s="24">
        <v>133</v>
      </c>
      <c r="AC44" s="24">
        <v>119</v>
      </c>
      <c r="AD44" s="24">
        <v>111</v>
      </c>
      <c r="AE44" s="24">
        <v>103</v>
      </c>
      <c r="AF44" s="24">
        <v>103</v>
      </c>
      <c r="AG44" s="24">
        <v>113</v>
      </c>
      <c r="AH44" s="24">
        <v>105</v>
      </c>
      <c r="AI44" s="24">
        <v>66</v>
      </c>
      <c r="AJ44" s="24">
        <v>40</v>
      </c>
      <c r="AK44" s="24">
        <v>21</v>
      </c>
      <c r="AL44" s="24">
        <v>14</v>
      </c>
      <c r="AM44" s="24">
        <v>9</v>
      </c>
      <c r="AN44" s="24">
        <v>5</v>
      </c>
      <c r="AO44" s="24">
        <v>3</v>
      </c>
      <c r="AP44" s="24">
        <v>2</v>
      </c>
      <c r="AQ44" s="24"/>
      <c r="AR44" s="24"/>
      <c r="AS44" s="24"/>
      <c r="AT44" s="24"/>
    </row>
    <row r="45" spans="1:46" x14ac:dyDescent="0.2">
      <c r="A45" s="35" t="s">
        <v>69</v>
      </c>
      <c r="B45" s="24">
        <v>4</v>
      </c>
      <c r="C45" s="24">
        <v>376</v>
      </c>
      <c r="D45" s="24">
        <v>1219</v>
      </c>
      <c r="E45" s="24"/>
      <c r="F45" s="24">
        <v>1741</v>
      </c>
      <c r="G45" s="24">
        <v>1689</v>
      </c>
      <c r="H45" s="24">
        <v>87</v>
      </c>
      <c r="I45" s="24">
        <v>42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</row>
    <row r="46" spans="1:46" s="26" customFormat="1" x14ac:dyDescent="0.2">
      <c r="A46" s="36" t="s">
        <v>73</v>
      </c>
      <c r="B46" s="25">
        <f t="shared" ref="B46" si="135">SUM(B38:B45)</f>
        <v>4</v>
      </c>
      <c r="C46" s="25">
        <f t="shared" ref="C46" si="136">SUM(C38:C45)</f>
        <v>376</v>
      </c>
      <c r="D46" s="25">
        <f t="shared" ref="D46" si="137">SUM(D38:D45)</f>
        <v>1220</v>
      </c>
      <c r="E46" s="25">
        <f t="shared" ref="E46" si="138">SUM(E38:E45)</f>
        <v>0</v>
      </c>
      <c r="F46" s="25">
        <f t="shared" ref="F46" si="139">SUM(F38:F45)</f>
        <v>1743</v>
      </c>
      <c r="G46" s="25">
        <f t="shared" ref="G46" si="140">SUM(G38:G45)</f>
        <v>1692</v>
      </c>
      <c r="H46" s="25">
        <f t="shared" ref="H46" si="141">SUM(H38:H45)</f>
        <v>90</v>
      </c>
      <c r="I46" s="25">
        <f t="shared" ref="I46" si="142">SUM(I38:I45)</f>
        <v>48</v>
      </c>
      <c r="J46" s="25">
        <f t="shared" ref="J46" si="143">SUM(J38:J45)</f>
        <v>0</v>
      </c>
      <c r="K46" s="25">
        <f t="shared" ref="K46" si="144">SUM(K38:K45)</f>
        <v>0</v>
      </c>
      <c r="L46" s="25">
        <f t="shared" ref="L46" si="145">SUM(L38:L45)</f>
        <v>0</v>
      </c>
      <c r="M46" s="25">
        <f t="shared" ref="M46" si="146">SUM(M38:M45)</f>
        <v>146</v>
      </c>
      <c r="N46" s="25">
        <f t="shared" ref="N46" si="147">SUM(N38:N45)</f>
        <v>214</v>
      </c>
      <c r="O46" s="25">
        <f t="shared" ref="O46" si="148">SUM(O38:O45)</f>
        <v>268</v>
      </c>
      <c r="P46" s="25">
        <f t="shared" ref="P46" si="149">SUM(P38:P45)</f>
        <v>385</v>
      </c>
      <c r="Q46" s="25">
        <f t="shared" ref="Q46" si="150">SUM(Q38:Q45)</f>
        <v>378</v>
      </c>
      <c r="R46" s="25">
        <f t="shared" ref="R46" si="151">SUM(R38:R45)</f>
        <v>350</v>
      </c>
      <c r="S46" s="25">
        <f t="shared" ref="S46" si="152">SUM(S38:S45)</f>
        <v>351</v>
      </c>
      <c r="T46" s="25">
        <f t="shared" ref="T46" si="153">SUM(T38:T45)</f>
        <v>299</v>
      </c>
      <c r="U46" s="25">
        <f t="shared" ref="U46" si="154">SUM(U38:U45)</f>
        <v>242</v>
      </c>
      <c r="V46" s="25">
        <f t="shared" ref="V46" si="155">SUM(V38:V45)</f>
        <v>228</v>
      </c>
      <c r="W46" s="25">
        <f t="shared" ref="W46" si="156">SUM(W38:W45)</f>
        <v>192</v>
      </c>
      <c r="X46" s="25">
        <f t="shared" ref="X46" si="157">SUM(X38:X45)</f>
        <v>237</v>
      </c>
      <c r="Y46" s="25">
        <f t="shared" ref="Y46" si="158">SUM(Y38:Y45)</f>
        <v>279</v>
      </c>
      <c r="Z46" s="25">
        <f t="shared" ref="Z46" si="159">SUM(Z38:Z45)</f>
        <v>269</v>
      </c>
      <c r="AA46" s="25">
        <f t="shared" ref="AA46" si="160">SUM(AA38:AA45)</f>
        <v>278</v>
      </c>
      <c r="AB46" s="25">
        <f t="shared" ref="AB46" si="161">SUM(AB38:AB45)</f>
        <v>319</v>
      </c>
      <c r="AC46" s="25">
        <f t="shared" ref="AC46" si="162">SUM(AC38:AC45)</f>
        <v>315</v>
      </c>
      <c r="AD46" s="25">
        <f t="shared" ref="AD46" si="163">SUM(AD38:AD45)</f>
        <v>301</v>
      </c>
      <c r="AE46" s="25">
        <f t="shared" ref="AE46" si="164">SUM(AE38:AE45)</f>
        <v>283</v>
      </c>
      <c r="AF46" s="25">
        <f t="shared" ref="AF46" si="165">SUM(AF38:AF45)</f>
        <v>330</v>
      </c>
      <c r="AG46" s="25">
        <f t="shared" ref="AG46" si="166">SUM(AG38:AG45)</f>
        <v>376</v>
      </c>
      <c r="AH46" s="25">
        <f t="shared" ref="AH46" si="167">SUM(AH38:AH45)</f>
        <v>385</v>
      </c>
      <c r="AI46" s="25">
        <f t="shared" ref="AI46" si="168">SUM(AI38:AI45)</f>
        <v>424</v>
      </c>
      <c r="AJ46" s="25">
        <f t="shared" ref="AJ46" si="169">SUM(AJ38:AJ45)</f>
        <v>398</v>
      </c>
      <c r="AK46" s="25">
        <f t="shared" ref="AK46" si="170">SUM(AK38:AK45)</f>
        <v>421</v>
      </c>
      <c r="AL46" s="25">
        <f t="shared" ref="AL46" si="171">SUM(AL38:AL45)</f>
        <v>471</v>
      </c>
      <c r="AM46" s="25">
        <f t="shared" ref="AM46" si="172">SUM(AM38:AM45)</f>
        <v>518</v>
      </c>
      <c r="AN46" s="25">
        <f t="shared" ref="AN46" si="173">SUM(AN38:AN45)</f>
        <v>527</v>
      </c>
      <c r="AO46" s="25">
        <f t="shared" ref="AO46" si="174">SUM(AO38:AO45)</f>
        <v>502</v>
      </c>
      <c r="AP46" s="25">
        <f t="shared" ref="AP46" si="175">SUM(AP38:AP45)</f>
        <v>462</v>
      </c>
      <c r="AQ46" s="25">
        <f t="shared" ref="AQ46" si="176">SUM(AQ38:AQ45)</f>
        <v>434</v>
      </c>
      <c r="AR46" s="25">
        <f t="shared" ref="AR46" si="177">SUM(AR38:AR45)</f>
        <v>432</v>
      </c>
      <c r="AS46" s="25">
        <f t="shared" ref="AS46" si="178">SUM(AS38:AS45)</f>
        <v>386</v>
      </c>
      <c r="AT46" s="25">
        <f t="shared" ref="AT46" si="179">SUM(AT38:AT45)</f>
        <v>336</v>
      </c>
    </row>
    <row r="47" spans="1:46" x14ac:dyDescent="0.2">
      <c r="A47" s="35" t="s">
        <v>58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>
        <v>334</v>
      </c>
      <c r="P47" s="24">
        <v>308</v>
      </c>
      <c r="Q47" s="24">
        <v>284</v>
      </c>
      <c r="R47" s="24">
        <v>261</v>
      </c>
      <c r="S47" s="24">
        <v>253</v>
      </c>
      <c r="T47" s="24">
        <v>230</v>
      </c>
      <c r="U47" s="24">
        <v>197</v>
      </c>
      <c r="V47" s="24">
        <v>179</v>
      </c>
      <c r="W47" s="24">
        <v>143</v>
      </c>
      <c r="X47" s="24">
        <v>125</v>
      </c>
      <c r="Y47" s="24">
        <v>104</v>
      </c>
      <c r="Z47" s="24">
        <v>82</v>
      </c>
      <c r="AA47" s="24">
        <v>66</v>
      </c>
      <c r="AB47" s="24">
        <v>57</v>
      </c>
      <c r="AC47" s="24">
        <v>49</v>
      </c>
      <c r="AD47" s="24">
        <v>41</v>
      </c>
      <c r="AE47" s="24">
        <v>38</v>
      </c>
      <c r="AF47" s="24">
        <v>32</v>
      </c>
      <c r="AG47" s="24">
        <v>30</v>
      </c>
      <c r="AH47" s="24">
        <v>25</v>
      </c>
      <c r="AI47" s="24">
        <v>24</v>
      </c>
      <c r="AJ47" s="24">
        <v>21</v>
      </c>
      <c r="AK47" s="24">
        <v>16</v>
      </c>
      <c r="AL47" s="24">
        <v>17</v>
      </c>
      <c r="AM47" s="24">
        <v>15</v>
      </c>
      <c r="AN47" s="24">
        <v>13</v>
      </c>
      <c r="AO47" s="24">
        <v>11</v>
      </c>
      <c r="AP47" s="24">
        <v>10</v>
      </c>
      <c r="AQ47" s="24">
        <v>7</v>
      </c>
      <c r="AR47" s="24">
        <v>7</v>
      </c>
      <c r="AS47" s="24">
        <v>5</v>
      </c>
      <c r="AT47" s="24">
        <v>2</v>
      </c>
    </row>
    <row r="48" spans="1:46" ht="24" x14ac:dyDescent="0.2">
      <c r="A48" s="35" t="s">
        <v>59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>
        <v>5</v>
      </c>
      <c r="AA48" s="24">
        <v>4</v>
      </c>
      <c r="AB48" s="24">
        <v>4</v>
      </c>
      <c r="AC48" s="24">
        <v>2</v>
      </c>
      <c r="AD48" s="24">
        <v>2</v>
      </c>
      <c r="AE48" s="24">
        <v>3</v>
      </c>
      <c r="AF48" s="24">
        <v>3</v>
      </c>
      <c r="AG48" s="24">
        <v>4</v>
      </c>
      <c r="AH48" s="24">
        <v>4</v>
      </c>
      <c r="AI48" s="24">
        <v>2</v>
      </c>
      <c r="AJ48" s="24">
        <v>2</v>
      </c>
      <c r="AK48" s="24">
        <v>1</v>
      </c>
      <c r="AL48" s="24"/>
      <c r="AM48" s="24"/>
      <c r="AN48" s="24"/>
      <c r="AO48" s="24"/>
      <c r="AP48" s="24"/>
      <c r="AQ48" s="24"/>
      <c r="AR48" s="24"/>
      <c r="AS48" s="24"/>
      <c r="AT48" s="24"/>
    </row>
    <row r="49" spans="1:46" ht="24" x14ac:dyDescent="0.2">
      <c r="A49" s="35" t="s">
        <v>88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>
        <v>3000</v>
      </c>
      <c r="N49" s="24">
        <v>2854</v>
      </c>
      <c r="O49" s="24">
        <v>2956</v>
      </c>
      <c r="P49" s="24">
        <v>2552</v>
      </c>
      <c r="Q49" s="24">
        <v>2556</v>
      </c>
      <c r="R49" s="24">
        <v>2273</v>
      </c>
      <c r="S49" s="24">
        <v>2572</v>
      </c>
      <c r="T49" s="24">
        <v>2286</v>
      </c>
      <c r="U49" s="24">
        <v>2472</v>
      </c>
      <c r="V49" s="24">
        <v>2448</v>
      </c>
      <c r="W49" s="24">
        <v>1920</v>
      </c>
      <c r="X49" s="24">
        <v>7</v>
      </c>
      <c r="Y49" s="24">
        <v>6</v>
      </c>
      <c r="Z49" s="24">
        <v>2</v>
      </c>
      <c r="AA49" s="24">
        <v>2</v>
      </c>
      <c r="AB49" s="24">
        <v>0</v>
      </c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</row>
    <row r="50" spans="1:46" x14ac:dyDescent="0.2">
      <c r="A50" s="35" t="s">
        <v>79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>
        <v>19</v>
      </c>
      <c r="P50" s="24">
        <v>14</v>
      </c>
      <c r="Q50" s="24">
        <v>14</v>
      </c>
      <c r="R50" s="24">
        <v>11</v>
      </c>
      <c r="S50" s="24">
        <v>9</v>
      </c>
      <c r="T50" s="24">
        <v>4</v>
      </c>
      <c r="U50" s="24">
        <v>3</v>
      </c>
      <c r="V50" s="24">
        <v>4</v>
      </c>
      <c r="W50" s="24">
        <v>1</v>
      </c>
      <c r="X50" s="24">
        <v>1</v>
      </c>
      <c r="Y50" s="24">
        <v>1</v>
      </c>
      <c r="Z50" s="24">
        <v>1</v>
      </c>
      <c r="AA50" s="24">
        <v>0</v>
      </c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</row>
    <row r="51" spans="1:46" s="26" customFormat="1" x14ac:dyDescent="0.2">
      <c r="A51" s="36" t="s">
        <v>73</v>
      </c>
      <c r="B51" s="25">
        <f t="shared" ref="B51" si="180">SUM(B47:B48)</f>
        <v>0</v>
      </c>
      <c r="C51" s="25">
        <f t="shared" ref="C51" si="181">SUM(C47:C48)</f>
        <v>0</v>
      </c>
      <c r="D51" s="25">
        <f t="shared" ref="D51" si="182">SUM(D47:D48)</f>
        <v>0</v>
      </c>
      <c r="E51" s="25">
        <f t="shared" ref="E51" si="183">SUM(E47:E48)</f>
        <v>0</v>
      </c>
      <c r="F51" s="25">
        <f t="shared" ref="F51" si="184">SUM(F47:F48)</f>
        <v>0</v>
      </c>
      <c r="G51" s="25">
        <f t="shared" ref="G51" si="185">SUM(G47:G48)</f>
        <v>0</v>
      </c>
      <c r="H51" s="25">
        <f t="shared" ref="H51" si="186">SUM(H47:H48)</f>
        <v>0</v>
      </c>
      <c r="I51" s="25">
        <f t="shared" ref="I51" si="187">SUM(I47:I48)</f>
        <v>0</v>
      </c>
      <c r="J51" s="25">
        <f t="shared" ref="J51" si="188">SUM(J47:J49)</f>
        <v>0</v>
      </c>
      <c r="K51" s="25">
        <f t="shared" ref="K51" si="189">SUM(K47:K49)</f>
        <v>0</v>
      </c>
      <c r="L51" s="25">
        <f t="shared" ref="L51" si="190">SUM(L47:L49)</f>
        <v>0</v>
      </c>
      <c r="M51" s="25">
        <f t="shared" ref="M51" si="191">SUM(M47:M49)</f>
        <v>3000</v>
      </c>
      <c r="N51" s="25">
        <f t="shared" ref="N51" si="192">SUM(N47:N49)</f>
        <v>2854</v>
      </c>
      <c r="O51" s="25">
        <f t="shared" ref="O51" si="193">SUM(O47:O50)</f>
        <v>3309</v>
      </c>
      <c r="P51" s="25">
        <f t="shared" ref="P51" si="194">SUM(P47:P50)</f>
        <v>2874</v>
      </c>
      <c r="Q51" s="25">
        <f t="shared" ref="Q51" si="195">SUM(Q47:Q50)</f>
        <v>2854</v>
      </c>
      <c r="R51" s="25">
        <f t="shared" ref="R51" si="196">SUM(R47:R50)</f>
        <v>2545</v>
      </c>
      <c r="S51" s="25">
        <f t="shared" ref="S51" si="197">SUM(S47:S50)</f>
        <v>2834</v>
      </c>
      <c r="T51" s="25">
        <f t="shared" ref="T51" si="198">SUM(T47:T50)</f>
        <v>2520</v>
      </c>
      <c r="U51" s="25">
        <f t="shared" ref="U51" si="199">SUM(U47:U50)</f>
        <v>2672</v>
      </c>
      <c r="V51" s="25">
        <f t="shared" ref="V51" si="200">SUM(V47:V50)</f>
        <v>2631</v>
      </c>
      <c r="W51" s="25">
        <f t="shared" ref="W51" si="201">SUM(W47:W50)</f>
        <v>2064</v>
      </c>
      <c r="X51" s="25">
        <f t="shared" ref="X51" si="202">SUM(X47:X50)</f>
        <v>133</v>
      </c>
      <c r="Y51" s="25">
        <f t="shared" ref="Y51" si="203">SUM(Y47:Y50)</f>
        <v>111</v>
      </c>
      <c r="Z51" s="25">
        <f t="shared" ref="Z51" si="204">SUM(Z47:Z50)</f>
        <v>90</v>
      </c>
      <c r="AA51" s="25">
        <f t="shared" ref="AA51" si="205">SUM(AA47:AA50)</f>
        <v>72</v>
      </c>
      <c r="AB51" s="25">
        <f t="shared" ref="AB51" si="206">SUM(AB47:AB50)</f>
        <v>61</v>
      </c>
      <c r="AC51" s="25">
        <f t="shared" ref="AC51" si="207">SUM(AC47:AC50)</f>
        <v>51</v>
      </c>
      <c r="AD51" s="25">
        <f t="shared" ref="AD51" si="208">SUM(AD47:AD50)</f>
        <v>43</v>
      </c>
      <c r="AE51" s="25">
        <f t="shared" ref="AE51" si="209">SUM(AE47:AE50)</f>
        <v>41</v>
      </c>
      <c r="AF51" s="25">
        <f t="shared" ref="AF51" si="210">SUM(AF47:AF50)</f>
        <v>35</v>
      </c>
      <c r="AG51" s="25">
        <f t="shared" ref="AG51" si="211">SUM(AG47:AG50)</f>
        <v>34</v>
      </c>
      <c r="AH51" s="25">
        <f t="shared" ref="AH51" si="212">SUM(AH47:AH50)</f>
        <v>29</v>
      </c>
      <c r="AI51" s="25">
        <f t="shared" ref="AI51" si="213">SUM(AI47:AI50)</f>
        <v>26</v>
      </c>
      <c r="AJ51" s="25">
        <f t="shared" ref="AJ51" si="214">SUM(AJ47:AJ50)</f>
        <v>23</v>
      </c>
      <c r="AK51" s="25">
        <f t="shared" ref="AK51" si="215">SUM(AK47:AK50)</f>
        <v>17</v>
      </c>
      <c r="AL51" s="25">
        <f t="shared" ref="AL51" si="216">SUM(AL47:AL50)</f>
        <v>17</v>
      </c>
      <c r="AM51" s="25">
        <f t="shared" ref="AM51" si="217">SUM(AM47:AM50)</f>
        <v>15</v>
      </c>
      <c r="AN51" s="25">
        <f t="shared" ref="AN51" si="218">SUM(AN47:AN50)</f>
        <v>13</v>
      </c>
      <c r="AO51" s="25">
        <f t="shared" ref="AO51" si="219">SUM(AO47:AO50)</f>
        <v>11</v>
      </c>
      <c r="AP51" s="25">
        <f t="shared" ref="AP51" si="220">SUM(AP47:AP50)</f>
        <v>10</v>
      </c>
      <c r="AQ51" s="25">
        <f t="shared" ref="AQ51" si="221">SUM(AQ47:AQ50)</f>
        <v>7</v>
      </c>
      <c r="AR51" s="25">
        <f t="shared" ref="AR51" si="222">SUM(AR47:AR50)</f>
        <v>7</v>
      </c>
      <c r="AS51" s="25">
        <f t="shared" ref="AS51" si="223">SUM(AS47:AS50)</f>
        <v>5</v>
      </c>
      <c r="AT51" s="25">
        <f t="shared" ref="AT51" si="224">SUM(AT47:AT50)</f>
        <v>2</v>
      </c>
    </row>
    <row r="52" spans="1:46" x14ac:dyDescent="0.2">
      <c r="A52" s="35" t="s">
        <v>60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>
        <v>8</v>
      </c>
      <c r="AK52" s="24">
        <v>15</v>
      </c>
      <c r="AL52" s="24">
        <v>19</v>
      </c>
      <c r="AM52" s="24">
        <v>19</v>
      </c>
      <c r="AN52" s="24">
        <v>19</v>
      </c>
      <c r="AO52" s="24">
        <v>20</v>
      </c>
      <c r="AP52" s="24">
        <v>21</v>
      </c>
      <c r="AQ52" s="24">
        <v>18</v>
      </c>
      <c r="AR52" s="24">
        <v>14</v>
      </c>
      <c r="AS52" s="24">
        <v>13</v>
      </c>
      <c r="AT52" s="24">
        <v>12</v>
      </c>
    </row>
    <row r="53" spans="1:46" s="26" customFormat="1" x14ac:dyDescent="0.2">
      <c r="A53" s="36" t="s">
        <v>73</v>
      </c>
      <c r="B53" s="25">
        <f t="shared" ref="B53" si="225">SUM(B52)</f>
        <v>0</v>
      </c>
      <c r="C53" s="25">
        <f t="shared" ref="C53" si="226">SUM(C52)</f>
        <v>0</v>
      </c>
      <c r="D53" s="25">
        <f t="shared" ref="D53" si="227">SUM(D52)</f>
        <v>0</v>
      </c>
      <c r="E53" s="25">
        <f t="shared" ref="E53" si="228">SUM(E52)</f>
        <v>0</v>
      </c>
      <c r="F53" s="25">
        <f t="shared" ref="F53" si="229">SUM(F52)</f>
        <v>0</v>
      </c>
      <c r="G53" s="25">
        <f t="shared" ref="G53" si="230">SUM(G52)</f>
        <v>0</v>
      </c>
      <c r="H53" s="25">
        <f t="shared" ref="H53" si="231">SUM(H52)</f>
        <v>0</v>
      </c>
      <c r="I53" s="25">
        <f t="shared" ref="I53" si="232">SUM(I52)</f>
        <v>0</v>
      </c>
      <c r="J53" s="25">
        <f t="shared" ref="J53" si="233">SUM(J52)</f>
        <v>0</v>
      </c>
      <c r="K53" s="25">
        <f t="shared" ref="K53" si="234">SUM(K52)</f>
        <v>0</v>
      </c>
      <c r="L53" s="25">
        <f t="shared" ref="L53" si="235">SUM(L52)</f>
        <v>0</v>
      </c>
      <c r="M53" s="25">
        <f t="shared" ref="M53" si="236">SUM(M52)</f>
        <v>0</v>
      </c>
      <c r="N53" s="25">
        <f t="shared" ref="N53" si="237">SUM(N52)</f>
        <v>0</v>
      </c>
      <c r="O53" s="25">
        <f t="shared" ref="O53" si="238">SUM(O52)</f>
        <v>0</v>
      </c>
      <c r="P53" s="25">
        <f t="shared" ref="P53" si="239">SUM(P52)</f>
        <v>0</v>
      </c>
      <c r="Q53" s="25">
        <f t="shared" ref="Q53" si="240">SUM(Q52)</f>
        <v>0</v>
      </c>
      <c r="R53" s="25">
        <f t="shared" ref="R53" si="241">SUM(R52)</f>
        <v>0</v>
      </c>
      <c r="S53" s="25">
        <f t="shared" ref="S53" si="242">SUM(S52)</f>
        <v>0</v>
      </c>
      <c r="T53" s="25">
        <f t="shared" ref="T53" si="243">SUM(T52)</f>
        <v>0</v>
      </c>
      <c r="U53" s="25">
        <f t="shared" ref="U53" si="244">SUM(U52)</f>
        <v>0</v>
      </c>
      <c r="V53" s="25">
        <f t="shared" ref="V53" si="245">SUM(V52)</f>
        <v>0</v>
      </c>
      <c r="W53" s="25">
        <f t="shared" ref="W53" si="246">SUM(W52)</f>
        <v>0</v>
      </c>
      <c r="X53" s="25">
        <f t="shared" ref="X53" si="247">SUM(X52)</f>
        <v>0</v>
      </c>
      <c r="Y53" s="25">
        <f t="shared" ref="Y53" si="248">SUM(Y52)</f>
        <v>0</v>
      </c>
      <c r="Z53" s="25">
        <f t="shared" ref="Z53" si="249">SUM(Z52)</f>
        <v>0</v>
      </c>
      <c r="AA53" s="25">
        <f t="shared" ref="AA53" si="250">SUM(AA52)</f>
        <v>0</v>
      </c>
      <c r="AB53" s="25">
        <f t="shared" ref="AB53" si="251">SUM(AB52)</f>
        <v>0</v>
      </c>
      <c r="AC53" s="25">
        <f t="shared" ref="AC53" si="252">SUM(AC52)</f>
        <v>0</v>
      </c>
      <c r="AD53" s="25">
        <f t="shared" ref="AD53" si="253">SUM(AD52)</f>
        <v>0</v>
      </c>
      <c r="AE53" s="25">
        <f t="shared" ref="AE53" si="254">SUM(AE52)</f>
        <v>0</v>
      </c>
      <c r="AF53" s="25">
        <f t="shared" ref="AF53" si="255">SUM(AF52)</f>
        <v>0</v>
      </c>
      <c r="AG53" s="25">
        <f t="shared" ref="AG53" si="256">SUM(AG52)</f>
        <v>0</v>
      </c>
      <c r="AH53" s="25">
        <f t="shared" ref="AH53" si="257">SUM(AH52)</f>
        <v>0</v>
      </c>
      <c r="AI53" s="25">
        <f t="shared" ref="AI53" si="258">SUM(AI52)</f>
        <v>0</v>
      </c>
      <c r="AJ53" s="25">
        <f t="shared" ref="AJ53" si="259">SUM(AJ52)</f>
        <v>8</v>
      </c>
      <c r="AK53" s="25">
        <f t="shared" ref="AK53" si="260">SUM(AK52)</f>
        <v>15</v>
      </c>
      <c r="AL53" s="25">
        <f t="shared" ref="AL53" si="261">SUM(AL52)</f>
        <v>19</v>
      </c>
      <c r="AM53" s="25">
        <f t="shared" ref="AM53" si="262">SUM(AM52)</f>
        <v>19</v>
      </c>
      <c r="AN53" s="25">
        <f t="shared" ref="AN53" si="263">SUM(AN52)</f>
        <v>19</v>
      </c>
      <c r="AO53" s="25">
        <f t="shared" ref="AO53" si="264">SUM(AO52)</f>
        <v>20</v>
      </c>
      <c r="AP53" s="25">
        <f t="shared" ref="AP53" si="265">SUM(AP52)</f>
        <v>21</v>
      </c>
      <c r="AQ53" s="25">
        <f t="shared" ref="AQ53" si="266">SUM(AQ52)</f>
        <v>18</v>
      </c>
      <c r="AR53" s="25">
        <f t="shared" ref="AR53" si="267">SUM(AR52)</f>
        <v>14</v>
      </c>
      <c r="AS53" s="25">
        <f t="shared" ref="AS53" si="268">SUM(AS52)</f>
        <v>13</v>
      </c>
      <c r="AT53" s="25">
        <f t="shared" ref="AT53" si="269">SUM(AT52)</f>
        <v>12</v>
      </c>
    </row>
    <row r="54" spans="1:46" x14ac:dyDescent="0.2">
      <c r="A54" s="35" t="s">
        <v>70</v>
      </c>
      <c r="B54" s="24">
        <v>5</v>
      </c>
      <c r="C54" s="24"/>
      <c r="D54" s="24"/>
      <c r="E54" s="24"/>
      <c r="F54" s="24"/>
      <c r="G54" s="24">
        <v>1</v>
      </c>
      <c r="H54" s="24">
        <v>2</v>
      </c>
      <c r="I54" s="24">
        <v>3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</row>
    <row r="55" spans="1:46" s="26" customFormat="1" x14ac:dyDescent="0.2">
      <c r="A55" s="36" t="s">
        <v>73</v>
      </c>
      <c r="B55" s="25">
        <f t="shared" ref="B55" si="270">SUM(B54)</f>
        <v>5</v>
      </c>
      <c r="C55" s="25">
        <f t="shared" ref="C55" si="271">SUM(C54)</f>
        <v>0</v>
      </c>
      <c r="D55" s="25">
        <f t="shared" ref="D55" si="272">SUM(D54)</f>
        <v>0</v>
      </c>
      <c r="E55" s="25">
        <f t="shared" ref="E55" si="273">SUM(E54)</f>
        <v>0</v>
      </c>
      <c r="F55" s="25">
        <f t="shared" ref="F55" si="274">SUM(F54)</f>
        <v>0</v>
      </c>
      <c r="G55" s="25">
        <f t="shared" ref="G55" si="275">SUM(G54)</f>
        <v>1</v>
      </c>
      <c r="H55" s="25">
        <f t="shared" ref="H55" si="276">SUM(H54)</f>
        <v>2</v>
      </c>
      <c r="I55" s="25">
        <f t="shared" ref="I55" si="277">SUM(I54)</f>
        <v>3</v>
      </c>
      <c r="J55" s="25">
        <f t="shared" ref="J55" si="278">SUM(J54)</f>
        <v>0</v>
      </c>
      <c r="K55" s="25">
        <f t="shared" ref="K55" si="279">SUM(K54)</f>
        <v>0</v>
      </c>
      <c r="L55" s="25">
        <f t="shared" ref="L55" si="280">SUM(L54)</f>
        <v>0</v>
      </c>
      <c r="M55" s="25">
        <f t="shared" ref="M55" si="281">SUM(M54)</f>
        <v>0</v>
      </c>
      <c r="N55" s="25">
        <f t="shared" ref="N55" si="282">SUM(N54)</f>
        <v>0</v>
      </c>
      <c r="O55" s="25">
        <f t="shared" ref="O55" si="283">SUM(O54)</f>
        <v>0</v>
      </c>
      <c r="P55" s="25">
        <f t="shared" ref="P55" si="284">SUM(P54)</f>
        <v>0</v>
      </c>
      <c r="Q55" s="25">
        <f t="shared" ref="Q55" si="285">SUM(Q54)</f>
        <v>0</v>
      </c>
      <c r="R55" s="25">
        <f t="shared" ref="R55" si="286">SUM(R54)</f>
        <v>0</v>
      </c>
      <c r="S55" s="25">
        <f t="shared" ref="S55" si="287">SUM(S54)</f>
        <v>0</v>
      </c>
      <c r="T55" s="25">
        <f t="shared" ref="T55" si="288">SUM(T54)</f>
        <v>0</v>
      </c>
      <c r="U55" s="25">
        <f t="shared" ref="U55" si="289">SUM(U54)</f>
        <v>0</v>
      </c>
      <c r="V55" s="25">
        <f t="shared" ref="V55" si="290">SUM(V54)</f>
        <v>0</v>
      </c>
      <c r="W55" s="25">
        <f t="shared" ref="W55" si="291">SUM(W54)</f>
        <v>0</v>
      </c>
      <c r="X55" s="25">
        <f t="shared" ref="X55" si="292">SUM(X54)</f>
        <v>0</v>
      </c>
      <c r="Y55" s="25">
        <f t="shared" ref="Y55" si="293">SUM(Y54)</f>
        <v>0</v>
      </c>
      <c r="Z55" s="25">
        <f t="shared" ref="Z55" si="294">SUM(Z54)</f>
        <v>0</v>
      </c>
      <c r="AA55" s="25">
        <f t="shared" ref="AA55" si="295">SUM(AA54)</f>
        <v>0</v>
      </c>
      <c r="AB55" s="25">
        <f t="shared" ref="AB55" si="296">SUM(AB54)</f>
        <v>0</v>
      </c>
      <c r="AC55" s="25">
        <f t="shared" ref="AC55" si="297">SUM(AC54)</f>
        <v>0</v>
      </c>
      <c r="AD55" s="25">
        <f t="shared" ref="AD55" si="298">SUM(AD54)</f>
        <v>0</v>
      </c>
      <c r="AE55" s="25">
        <f t="shared" ref="AE55" si="299">SUM(AE54)</f>
        <v>0</v>
      </c>
      <c r="AF55" s="25">
        <f t="shared" ref="AF55" si="300">SUM(AF54)</f>
        <v>0</v>
      </c>
      <c r="AG55" s="25">
        <f t="shared" ref="AG55" si="301">SUM(AG54)</f>
        <v>0</v>
      </c>
      <c r="AH55" s="25">
        <f t="shared" ref="AH55" si="302">SUM(AH54)</f>
        <v>0</v>
      </c>
      <c r="AI55" s="25">
        <f t="shared" ref="AI55" si="303">SUM(AI54)</f>
        <v>0</v>
      </c>
      <c r="AJ55" s="25">
        <f t="shared" ref="AJ55" si="304">SUM(AJ54)</f>
        <v>0</v>
      </c>
      <c r="AK55" s="25">
        <f t="shared" ref="AK55" si="305">SUM(AK54)</f>
        <v>0</v>
      </c>
      <c r="AL55" s="25">
        <f t="shared" ref="AL55" si="306">SUM(AL54)</f>
        <v>0</v>
      </c>
      <c r="AM55" s="25">
        <f t="shared" ref="AM55" si="307">SUM(AM54)</f>
        <v>0</v>
      </c>
      <c r="AN55" s="25">
        <f t="shared" ref="AN55" si="308">SUM(AN54)</f>
        <v>0</v>
      </c>
      <c r="AO55" s="25">
        <f t="shared" ref="AO55" si="309">SUM(AO54)</f>
        <v>0</v>
      </c>
      <c r="AP55" s="25">
        <f t="shared" ref="AP55" si="310">SUM(AP54)</f>
        <v>0</v>
      </c>
      <c r="AQ55" s="25">
        <f t="shared" ref="AQ55" si="311">SUM(AQ54)</f>
        <v>0</v>
      </c>
      <c r="AR55" s="25">
        <f t="shared" ref="AR55" si="312">SUM(AR54)</f>
        <v>0</v>
      </c>
      <c r="AS55" s="25">
        <f t="shared" ref="AS55" si="313">SUM(AS54)</f>
        <v>0</v>
      </c>
      <c r="AT55" s="25">
        <f t="shared" ref="AT55" si="314">SUM(AT54)</f>
        <v>0</v>
      </c>
    </row>
    <row r="56" spans="1:46" x14ac:dyDescent="0.2">
      <c r="A56" s="35" t="s">
        <v>75</v>
      </c>
      <c r="B56" s="24"/>
      <c r="C56" s="24">
        <v>18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</row>
    <row r="57" spans="1:46" s="26" customFormat="1" x14ac:dyDescent="0.2">
      <c r="A57" s="36" t="s">
        <v>73</v>
      </c>
      <c r="B57" s="25">
        <f t="shared" ref="B57" si="315">SUM(B56)</f>
        <v>0</v>
      </c>
      <c r="C57" s="25">
        <f t="shared" ref="C57" si="316">SUM(C56)</f>
        <v>18</v>
      </c>
      <c r="D57" s="25">
        <f t="shared" ref="D57" si="317">SUM(D56)</f>
        <v>0</v>
      </c>
      <c r="E57" s="25">
        <f t="shared" ref="E57" si="318">SUM(E56)</f>
        <v>0</v>
      </c>
      <c r="F57" s="25">
        <f t="shared" ref="F57" si="319">SUM(F56)</f>
        <v>0</v>
      </c>
      <c r="G57" s="25">
        <f t="shared" ref="G57" si="320">SUM(G56)</f>
        <v>0</v>
      </c>
      <c r="H57" s="25">
        <f t="shared" ref="H57" si="321">SUM(H56)</f>
        <v>0</v>
      </c>
      <c r="I57" s="25">
        <f t="shared" ref="I57" si="322">SUM(I56)</f>
        <v>0</v>
      </c>
      <c r="J57" s="25">
        <f t="shared" ref="J57" si="323">SUM(J56)</f>
        <v>0</v>
      </c>
      <c r="K57" s="25">
        <f t="shared" ref="K57" si="324">SUM(K56)</f>
        <v>0</v>
      </c>
      <c r="L57" s="25">
        <f t="shared" ref="L57" si="325">SUM(L56)</f>
        <v>0</v>
      </c>
      <c r="M57" s="25">
        <f t="shared" ref="M57" si="326">SUM(M56)</f>
        <v>0</v>
      </c>
      <c r="N57" s="25">
        <f t="shared" ref="N57" si="327">SUM(N56)</f>
        <v>0</v>
      </c>
      <c r="O57" s="25">
        <f t="shared" ref="O57" si="328">SUM(O56)</f>
        <v>0</v>
      </c>
      <c r="P57" s="25">
        <f t="shared" ref="P57" si="329">SUM(P56)</f>
        <v>0</v>
      </c>
      <c r="Q57" s="25">
        <f t="shared" ref="Q57" si="330">SUM(Q56)</f>
        <v>0</v>
      </c>
      <c r="R57" s="25">
        <f t="shared" ref="R57" si="331">SUM(R56)</f>
        <v>0</v>
      </c>
      <c r="S57" s="25">
        <f t="shared" ref="S57" si="332">SUM(S56)</f>
        <v>0</v>
      </c>
      <c r="T57" s="25">
        <f t="shared" ref="T57" si="333">SUM(T56)</f>
        <v>0</v>
      </c>
      <c r="U57" s="25">
        <f t="shared" ref="U57" si="334">SUM(U56)</f>
        <v>0</v>
      </c>
      <c r="V57" s="25">
        <f t="shared" ref="V57" si="335">SUM(V56)</f>
        <v>0</v>
      </c>
      <c r="W57" s="25">
        <f t="shared" ref="W57" si="336">SUM(W56)</f>
        <v>0</v>
      </c>
      <c r="X57" s="25">
        <f t="shared" ref="X57" si="337">SUM(X56)</f>
        <v>0</v>
      </c>
      <c r="Y57" s="25">
        <f t="shared" ref="Y57" si="338">SUM(Y56)</f>
        <v>0</v>
      </c>
      <c r="Z57" s="25">
        <f t="shared" ref="Z57" si="339">SUM(Z56)</f>
        <v>0</v>
      </c>
      <c r="AA57" s="25">
        <f t="shared" ref="AA57" si="340">SUM(AA56)</f>
        <v>0</v>
      </c>
      <c r="AB57" s="25">
        <f t="shared" ref="AB57" si="341">SUM(AB56)</f>
        <v>0</v>
      </c>
      <c r="AC57" s="25">
        <f t="shared" ref="AC57" si="342">SUM(AC56)</f>
        <v>0</v>
      </c>
      <c r="AD57" s="25">
        <f t="shared" ref="AD57" si="343">SUM(AD56)</f>
        <v>0</v>
      </c>
      <c r="AE57" s="25">
        <f t="shared" ref="AE57" si="344">SUM(AE56)</f>
        <v>0</v>
      </c>
      <c r="AF57" s="25">
        <f t="shared" ref="AF57" si="345">SUM(AF56)</f>
        <v>0</v>
      </c>
      <c r="AG57" s="25">
        <f t="shared" ref="AG57" si="346">SUM(AG56)</f>
        <v>0</v>
      </c>
      <c r="AH57" s="25">
        <f t="shared" ref="AH57" si="347">SUM(AH56)</f>
        <v>0</v>
      </c>
      <c r="AI57" s="25">
        <f t="shared" ref="AI57" si="348">SUM(AI56)</f>
        <v>0</v>
      </c>
      <c r="AJ57" s="25">
        <f t="shared" ref="AJ57" si="349">SUM(AJ56)</f>
        <v>0</v>
      </c>
      <c r="AK57" s="25">
        <f t="shared" ref="AK57" si="350">SUM(AK56)</f>
        <v>0</v>
      </c>
      <c r="AL57" s="25">
        <f t="shared" ref="AL57" si="351">SUM(AL56)</f>
        <v>0</v>
      </c>
      <c r="AM57" s="25">
        <f t="shared" ref="AM57" si="352">SUM(AM56)</f>
        <v>0</v>
      </c>
      <c r="AN57" s="25">
        <f t="shared" ref="AN57" si="353">SUM(AN56)</f>
        <v>0</v>
      </c>
      <c r="AO57" s="25">
        <f t="shared" ref="AO57" si="354">SUM(AO56)</f>
        <v>0</v>
      </c>
      <c r="AP57" s="25">
        <f t="shared" ref="AP57" si="355">SUM(AP56)</f>
        <v>0</v>
      </c>
      <c r="AQ57" s="25">
        <f t="shared" ref="AQ57" si="356">SUM(AQ56)</f>
        <v>0</v>
      </c>
      <c r="AR57" s="25">
        <f t="shared" ref="AR57" si="357">SUM(AR56)</f>
        <v>0</v>
      </c>
      <c r="AS57" s="25">
        <f t="shared" ref="AS57" si="358">SUM(AS56)</f>
        <v>0</v>
      </c>
      <c r="AT57" s="25">
        <f t="shared" ref="AT57" si="359">SUM(AT56)</f>
        <v>0</v>
      </c>
    </row>
    <row r="58" spans="1:46" x14ac:dyDescent="0.2">
      <c r="A58" s="35" t="s">
        <v>85</v>
      </c>
      <c r="B58" s="24"/>
      <c r="C58" s="24"/>
      <c r="D58" s="24"/>
      <c r="E58" s="24"/>
      <c r="F58" s="24"/>
      <c r="G58" s="24"/>
      <c r="H58" s="24"/>
      <c r="I58" s="24">
        <v>1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</row>
    <row r="59" spans="1:46" s="26" customFormat="1" x14ac:dyDescent="0.2">
      <c r="A59" s="36" t="s">
        <v>73</v>
      </c>
      <c r="B59" s="25">
        <f t="shared" ref="B59" si="360">SUM(B58)</f>
        <v>0</v>
      </c>
      <c r="C59" s="25">
        <f t="shared" ref="C59" si="361">SUM(C58)</f>
        <v>0</v>
      </c>
      <c r="D59" s="25">
        <f t="shared" ref="D59" si="362">SUM(D58)</f>
        <v>0</v>
      </c>
      <c r="E59" s="25">
        <f t="shared" ref="E59" si="363">SUM(E58)</f>
        <v>0</v>
      </c>
      <c r="F59" s="25">
        <f t="shared" ref="F59" si="364">SUM(F58)</f>
        <v>0</v>
      </c>
      <c r="G59" s="25">
        <f t="shared" ref="G59" si="365">SUM(G58)</f>
        <v>0</v>
      </c>
      <c r="H59" s="25">
        <f t="shared" ref="H59" si="366">SUM(H58)</f>
        <v>0</v>
      </c>
      <c r="I59" s="25">
        <f t="shared" ref="I59" si="367">SUM(I58)</f>
        <v>1</v>
      </c>
      <c r="J59" s="25">
        <f t="shared" ref="J59" si="368">SUM(J58)</f>
        <v>0</v>
      </c>
      <c r="K59" s="25">
        <f t="shared" ref="K59" si="369">SUM(K58)</f>
        <v>0</v>
      </c>
      <c r="L59" s="25">
        <f t="shared" ref="L59" si="370">SUM(L58)</f>
        <v>0</v>
      </c>
      <c r="M59" s="25">
        <f t="shared" ref="M59" si="371">SUM(M58)</f>
        <v>0</v>
      </c>
      <c r="N59" s="25">
        <f t="shared" ref="N59" si="372">SUM(N58)</f>
        <v>0</v>
      </c>
      <c r="O59" s="25">
        <f t="shared" ref="O59" si="373">SUM(O58)</f>
        <v>0</v>
      </c>
      <c r="P59" s="25">
        <f t="shared" ref="P59" si="374">SUM(P58)</f>
        <v>0</v>
      </c>
      <c r="Q59" s="25">
        <f t="shared" ref="Q59" si="375">SUM(Q58)</f>
        <v>0</v>
      </c>
      <c r="R59" s="25">
        <f t="shared" ref="R59" si="376">SUM(R58)</f>
        <v>0</v>
      </c>
      <c r="S59" s="25">
        <f t="shared" ref="S59" si="377">SUM(S58)</f>
        <v>0</v>
      </c>
      <c r="T59" s="25">
        <f t="shared" ref="T59" si="378">SUM(T58)</f>
        <v>0</v>
      </c>
      <c r="U59" s="25">
        <f t="shared" ref="U59" si="379">SUM(U58)</f>
        <v>0</v>
      </c>
      <c r="V59" s="25">
        <f t="shared" ref="V59" si="380">SUM(V58)</f>
        <v>0</v>
      </c>
      <c r="W59" s="25">
        <f t="shared" ref="W59" si="381">SUM(W58)</f>
        <v>0</v>
      </c>
      <c r="X59" s="25">
        <f t="shared" ref="X59" si="382">SUM(X58)</f>
        <v>0</v>
      </c>
      <c r="Y59" s="25">
        <f t="shared" ref="Y59" si="383">SUM(Y58)</f>
        <v>0</v>
      </c>
      <c r="Z59" s="25">
        <f t="shared" ref="Z59" si="384">SUM(Z58)</f>
        <v>0</v>
      </c>
      <c r="AA59" s="25">
        <f t="shared" ref="AA59" si="385">SUM(AA58)</f>
        <v>0</v>
      </c>
      <c r="AB59" s="25">
        <f t="shared" ref="AB59" si="386">SUM(AB58)</f>
        <v>0</v>
      </c>
      <c r="AC59" s="25">
        <f t="shared" ref="AC59" si="387">SUM(AC58)</f>
        <v>0</v>
      </c>
      <c r="AD59" s="25">
        <f t="shared" ref="AD59" si="388">SUM(AD58)</f>
        <v>0</v>
      </c>
      <c r="AE59" s="25">
        <f t="shared" ref="AE59" si="389">SUM(AE58)</f>
        <v>0</v>
      </c>
      <c r="AF59" s="25">
        <f t="shared" ref="AF59" si="390">SUM(AF58)</f>
        <v>0</v>
      </c>
      <c r="AG59" s="25">
        <f t="shared" ref="AG59" si="391">SUM(AG58)</f>
        <v>0</v>
      </c>
      <c r="AH59" s="25">
        <f t="shared" ref="AH59" si="392">SUM(AH58)</f>
        <v>0</v>
      </c>
      <c r="AI59" s="25">
        <f t="shared" ref="AI59" si="393">SUM(AI58)</f>
        <v>0</v>
      </c>
      <c r="AJ59" s="25">
        <f t="shared" ref="AJ59" si="394">SUM(AJ58)</f>
        <v>0</v>
      </c>
      <c r="AK59" s="25">
        <f t="shared" ref="AK59" si="395">SUM(AK58)</f>
        <v>0</v>
      </c>
      <c r="AL59" s="25">
        <f t="shared" ref="AL59" si="396">SUM(AL58)</f>
        <v>0</v>
      </c>
      <c r="AM59" s="25">
        <f t="shared" ref="AM59" si="397">SUM(AM58)</f>
        <v>0</v>
      </c>
      <c r="AN59" s="25">
        <f t="shared" ref="AN59" si="398">SUM(AN58)</f>
        <v>0</v>
      </c>
      <c r="AO59" s="25">
        <f t="shared" ref="AO59" si="399">SUM(AO58)</f>
        <v>0</v>
      </c>
      <c r="AP59" s="25">
        <f t="shared" ref="AP59" si="400">SUM(AP58)</f>
        <v>0</v>
      </c>
      <c r="AQ59" s="25">
        <f t="shared" ref="AQ59" si="401">SUM(AQ58)</f>
        <v>0</v>
      </c>
      <c r="AR59" s="25">
        <f t="shared" ref="AR59" si="402">SUM(AR58)</f>
        <v>0</v>
      </c>
      <c r="AS59" s="25">
        <f t="shared" ref="AS59" si="403">SUM(AS58)</f>
        <v>0</v>
      </c>
      <c r="AT59" s="25">
        <f t="shared" ref="AT59" si="404">SUM(AT58)</f>
        <v>0</v>
      </c>
    </row>
    <row r="60" spans="1:46" x14ac:dyDescent="0.2">
      <c r="A60" s="35" t="s">
        <v>89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>
        <v>21</v>
      </c>
      <c r="N60" s="24">
        <v>30</v>
      </c>
      <c r="O60" s="24">
        <v>55</v>
      </c>
      <c r="P60" s="24">
        <v>54</v>
      </c>
      <c r="Q60" s="24">
        <v>49</v>
      </c>
      <c r="R60" s="24">
        <v>44</v>
      </c>
      <c r="S60" s="24">
        <v>47</v>
      </c>
      <c r="T60" s="24">
        <v>41</v>
      </c>
      <c r="U60" s="24">
        <v>38</v>
      </c>
      <c r="V60" s="24">
        <v>34</v>
      </c>
      <c r="W60" s="24">
        <v>31</v>
      </c>
      <c r="X60" s="24">
        <v>28</v>
      </c>
      <c r="Y60" s="24">
        <v>11</v>
      </c>
      <c r="Z60" s="24">
        <v>5</v>
      </c>
      <c r="AA60" s="24">
        <v>5</v>
      </c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</row>
    <row r="61" spans="1:46" s="26" customFormat="1" x14ac:dyDescent="0.2">
      <c r="A61" s="36" t="s">
        <v>73</v>
      </c>
      <c r="B61" s="25">
        <f t="shared" ref="B61" si="405">SUM(B60)</f>
        <v>0</v>
      </c>
      <c r="C61" s="25">
        <f t="shared" ref="C61" si="406">SUM(C60)</f>
        <v>0</v>
      </c>
      <c r="D61" s="25">
        <f t="shared" ref="D61" si="407">SUM(D60)</f>
        <v>0</v>
      </c>
      <c r="E61" s="25">
        <f t="shared" ref="E61" si="408">SUM(E60)</f>
        <v>0</v>
      </c>
      <c r="F61" s="25">
        <f t="shared" ref="F61" si="409">SUM(F60)</f>
        <v>0</v>
      </c>
      <c r="G61" s="25">
        <f t="shared" ref="G61" si="410">SUM(G60)</f>
        <v>0</v>
      </c>
      <c r="H61" s="25">
        <f t="shared" ref="H61" si="411">SUM(H60)</f>
        <v>0</v>
      </c>
      <c r="I61" s="25">
        <f t="shared" ref="I61" si="412">SUM(I60)</f>
        <v>0</v>
      </c>
      <c r="J61" s="25">
        <f t="shared" ref="J61" si="413">SUM(J60)</f>
        <v>0</v>
      </c>
      <c r="K61" s="25">
        <f t="shared" ref="K61" si="414">SUM(K60)</f>
        <v>0</v>
      </c>
      <c r="L61" s="25">
        <f t="shared" ref="L61" si="415">SUM(L60)</f>
        <v>0</v>
      </c>
      <c r="M61" s="25">
        <f t="shared" ref="M61" si="416">SUM(M60)</f>
        <v>21</v>
      </c>
      <c r="N61" s="25">
        <f t="shared" ref="N61" si="417">SUM(N60)</f>
        <v>30</v>
      </c>
      <c r="O61" s="25">
        <f t="shared" ref="O61" si="418">SUM(O60)</f>
        <v>55</v>
      </c>
      <c r="P61" s="25">
        <f t="shared" ref="P61" si="419">SUM(P60)</f>
        <v>54</v>
      </c>
      <c r="Q61" s="25">
        <f t="shared" ref="Q61" si="420">SUM(Q60)</f>
        <v>49</v>
      </c>
      <c r="R61" s="25">
        <f t="shared" ref="R61" si="421">SUM(R60)</f>
        <v>44</v>
      </c>
      <c r="S61" s="25">
        <f t="shared" ref="S61" si="422">SUM(S60)</f>
        <v>47</v>
      </c>
      <c r="T61" s="25">
        <f t="shared" ref="T61" si="423">SUM(T60)</f>
        <v>41</v>
      </c>
      <c r="U61" s="25">
        <f t="shared" ref="U61" si="424">SUM(U60)</f>
        <v>38</v>
      </c>
      <c r="V61" s="25">
        <f t="shared" ref="V61" si="425">SUM(V60)</f>
        <v>34</v>
      </c>
      <c r="W61" s="25">
        <f t="shared" ref="W61" si="426">SUM(W60)</f>
        <v>31</v>
      </c>
      <c r="X61" s="25">
        <f t="shared" ref="X61" si="427">SUM(X60)</f>
        <v>28</v>
      </c>
      <c r="Y61" s="25">
        <f t="shared" ref="Y61" si="428">SUM(Y60)</f>
        <v>11</v>
      </c>
      <c r="Z61" s="25">
        <f t="shared" ref="Z61" si="429">SUM(Z60)</f>
        <v>5</v>
      </c>
      <c r="AA61" s="25">
        <f t="shared" ref="AA61" si="430">SUM(AA60)</f>
        <v>5</v>
      </c>
      <c r="AB61" s="25">
        <f t="shared" ref="AB61" si="431">SUM(AB60)</f>
        <v>0</v>
      </c>
      <c r="AC61" s="25">
        <f t="shared" ref="AC61" si="432">SUM(AC60)</f>
        <v>0</v>
      </c>
      <c r="AD61" s="25">
        <f t="shared" ref="AD61" si="433">SUM(AD60)</f>
        <v>0</v>
      </c>
      <c r="AE61" s="25">
        <f t="shared" ref="AE61" si="434">SUM(AE60)</f>
        <v>0</v>
      </c>
      <c r="AF61" s="25">
        <f t="shared" ref="AF61" si="435">SUM(AF60)</f>
        <v>0</v>
      </c>
      <c r="AG61" s="25">
        <f t="shared" ref="AG61" si="436">SUM(AG60)</f>
        <v>0</v>
      </c>
      <c r="AH61" s="25">
        <f t="shared" ref="AH61" si="437">SUM(AH60)</f>
        <v>0</v>
      </c>
      <c r="AI61" s="25">
        <f t="shared" ref="AI61" si="438">SUM(AI60)</f>
        <v>0</v>
      </c>
      <c r="AJ61" s="25">
        <f t="shared" ref="AJ61" si="439">SUM(AJ60)</f>
        <v>0</v>
      </c>
      <c r="AK61" s="25">
        <f t="shared" ref="AK61" si="440">SUM(AK60)</f>
        <v>0</v>
      </c>
      <c r="AL61" s="25">
        <f t="shared" ref="AL61" si="441">SUM(AL60)</f>
        <v>0</v>
      </c>
      <c r="AM61" s="25">
        <f t="shared" ref="AM61" si="442">SUM(AM60)</f>
        <v>0</v>
      </c>
      <c r="AN61" s="25">
        <f t="shared" ref="AN61" si="443">SUM(AN60)</f>
        <v>0</v>
      </c>
      <c r="AO61" s="25">
        <f t="shared" ref="AO61" si="444">SUM(AO60)</f>
        <v>0</v>
      </c>
      <c r="AP61" s="25">
        <f t="shared" ref="AP61" si="445">SUM(AP60)</f>
        <v>0</v>
      </c>
      <c r="AQ61" s="25">
        <f t="shared" ref="AQ61" si="446">SUM(AQ60)</f>
        <v>0</v>
      </c>
      <c r="AR61" s="25">
        <f t="shared" ref="AR61" si="447">SUM(AR60)</f>
        <v>0</v>
      </c>
      <c r="AS61" s="25">
        <f t="shared" ref="AS61" si="448">SUM(AS60)</f>
        <v>0</v>
      </c>
      <c r="AT61" s="25">
        <f t="shared" ref="AT61" si="449">SUM(AT60)</f>
        <v>0</v>
      </c>
    </row>
    <row r="62" spans="1:46" s="29" customFormat="1" ht="12.5" thickBot="1" x14ac:dyDescent="0.25">
      <c r="A62" s="37" t="s">
        <v>61</v>
      </c>
      <c r="B62" s="40">
        <f t="shared" ref="B62" si="450">SUM(B55,B53,B51,B46,B37,B30,B16,B57,B59,B61)</f>
        <v>68</v>
      </c>
      <c r="C62" s="40">
        <f t="shared" ref="C62" si="451">SUM(C55,C53,C51,C46,C37,C30,C16,C57,C59,C61)</f>
        <v>411</v>
      </c>
      <c r="D62" s="40">
        <f t="shared" ref="D62" si="452">SUM(D55,D53,D51,D46,D37,D30,D16,D57,D59,D61)</f>
        <v>2425</v>
      </c>
      <c r="E62" s="40">
        <f t="shared" ref="E62" si="453">SUM(E55,E53,E51,E46,E37,E30,E16,E57,E59,E61)</f>
        <v>0</v>
      </c>
      <c r="F62" s="40">
        <f t="shared" ref="F62" si="454">SUM(F55,F53,F51,F46,F37,F30,F16,F57,F59,F61)</f>
        <v>3687</v>
      </c>
      <c r="G62" s="40">
        <f t="shared" ref="G62" si="455">SUM(G55,G53,G51,G46,G37,G30,G16,G57,G59,G61)</f>
        <v>3927</v>
      </c>
      <c r="H62" s="40">
        <f t="shared" ref="H62" si="456">SUM(H55,H53,H51,H46,H37,H30,H16,H57,H59,H61)</f>
        <v>2668</v>
      </c>
      <c r="I62" s="40">
        <f t="shared" ref="I62" si="457">SUM(I55,I53,I51,I46,I37,I30,I16,I57,I59,I61)</f>
        <v>2965</v>
      </c>
      <c r="J62" s="40">
        <f t="shared" ref="J62" si="458">SUM(J55,J53,J51,J46,J37,J30,J16,J57,J59,J61)</f>
        <v>0</v>
      </c>
      <c r="K62" s="40">
        <f t="shared" ref="K62" si="459">SUM(K55,K53,K51,K46,K37,K30,K16,K57,K59,K61)</f>
        <v>0</v>
      </c>
      <c r="L62" s="40">
        <f t="shared" ref="L62" si="460">SUM(L55,L53,L51,L46,L37,L30,L16,L57,L59,L61)</f>
        <v>0</v>
      </c>
      <c r="M62" s="40">
        <f t="shared" ref="M62" si="461">SUM(M55,M53,M51,M46,M37,M30,M16,M57,M59,M61)</f>
        <v>3898</v>
      </c>
      <c r="N62" s="40">
        <f t="shared" ref="N62" si="462">SUM(N55,N53,N51,N46,N37,N30,N16,N57,N59,N61)</f>
        <v>3989</v>
      </c>
      <c r="O62" s="40">
        <f t="shared" ref="O62" si="463">SUM(O55,O53,O51,O46,O37,O30,O16,O57,O59,O61)</f>
        <v>4887</v>
      </c>
      <c r="P62" s="40">
        <f t="shared" ref="P62" si="464">SUM(P55,P53,P51,P46,P37,P30,P16,P57,P59,P61)</f>
        <v>4426</v>
      </c>
      <c r="Q62" s="40">
        <f t="shared" ref="Q62" si="465">SUM(Q55,Q53,Q51,Q46,Q37,Q30,Q16,Q57,Q59,Q61)</f>
        <v>4899</v>
      </c>
      <c r="R62" s="40">
        <f t="shared" ref="R62" si="466">SUM(R55,R53,R51,R46,R37,R30,R16,R57,R59,R61)</f>
        <v>4386</v>
      </c>
      <c r="S62" s="40">
        <f t="shared" ref="S62" si="467">SUM(S55,S53,S51,S46,S37,S30,S16,S57,S59,S61)</f>
        <v>4789</v>
      </c>
      <c r="T62" s="40">
        <f t="shared" ref="T62" si="468">SUM(T55,T53,T51,T46,T37,T30,T16,T57,T59,T61)</f>
        <v>4540</v>
      </c>
      <c r="U62" s="40">
        <f t="shared" ref="U62" si="469">SUM(U55,U53,U51,U46,U37,U30,U16,U57,U59,U61)</f>
        <v>5101</v>
      </c>
      <c r="V62" s="40">
        <f t="shared" ref="V62" si="470">SUM(V55,V53,V51,V46,V37,V30,V16,V57,V59,V61)</f>
        <v>4517</v>
      </c>
      <c r="W62" s="40">
        <f t="shared" ref="W62" si="471">SUM(W55,W53,W51,W46,W37,W30,W16,W57,W59,W61)</f>
        <v>3969</v>
      </c>
      <c r="X62" s="40">
        <f t="shared" ref="X62" si="472">SUM(X55,X53,X51,X46,X37,X30,X16,X57,X59,X61)</f>
        <v>2367</v>
      </c>
      <c r="Y62" s="40">
        <f t="shared" ref="Y62" si="473">SUM(Y55,Y53,Y51,Y46,Y37,Y30,Y16,Y57,Y59,Y61)</f>
        <v>2535</v>
      </c>
      <c r="Z62" s="40">
        <f t="shared" ref="Z62" si="474">SUM(Z55,Z53,Z51,Z46,Z37,Z30,Z16,Z57,Z59,Z61)</f>
        <v>2569</v>
      </c>
      <c r="AA62" s="40">
        <f t="shared" ref="AA62" si="475">SUM(AA55,AA53,AA51,AA46,AA37,AA30,AA16,AA57,AA59,AA61)</f>
        <v>2706</v>
      </c>
      <c r="AB62" s="40">
        <f t="shared" ref="AB62" si="476">SUM(AB55,AB53,AB51,AB46,AB37,AB30,AB16,AB57,AB59,AB61)</f>
        <v>3124</v>
      </c>
      <c r="AC62" s="40">
        <f t="shared" ref="AC62" si="477">SUM(AC55,AC53,AC51,AC46,AC37,AC30,AC16,AC57,AC59,AC61)</f>
        <v>3477</v>
      </c>
      <c r="AD62" s="40">
        <f t="shared" ref="AD62" si="478">SUM(AD55,AD53,AD51,AD46,AD37,AD30,AD16,AD57,AD59,AD61)</f>
        <v>3856</v>
      </c>
      <c r="AE62" s="40">
        <f t="shared" ref="AE62" si="479">SUM(AE55,AE53,AE51,AE46,AE37,AE30,AE16,AE57,AE59,AE61)</f>
        <v>4263</v>
      </c>
      <c r="AF62" s="40">
        <f t="shared" ref="AF62" si="480">SUM(AF55,AF53,AF51,AF46,AF37,AF30,AF16,AF57,AF59,AF61)</f>
        <v>4604</v>
      </c>
      <c r="AG62" s="40">
        <f t="shared" ref="AG62" si="481">SUM(AG55,AG53,AG51,AG46,AG37,AG30,AG16,AG57,AG59,AG61)</f>
        <v>4692</v>
      </c>
      <c r="AH62" s="40">
        <f t="shared" ref="AH62" si="482">SUM(AH55,AH53,AH51,AH46,AH37,AH30,AH16,AH57,AH59,AH61)</f>
        <v>4717</v>
      </c>
      <c r="AI62" s="40">
        <f t="shared" ref="AI62" si="483">SUM(AI55,AI53,AI51,AI46,AI37,AI30,AI16,AI57,AI59,AI61)</f>
        <v>4729</v>
      </c>
      <c r="AJ62" s="40">
        <f t="shared" ref="AJ62" si="484">SUM(AJ55,AJ53,AJ51,AJ46,AJ37,AJ30,AJ16,AJ57,AJ59,AJ61)</f>
        <v>4587</v>
      </c>
      <c r="AK62" s="40">
        <f t="shared" ref="AK62" si="485">SUM(AK55,AK53,AK51,AK46,AK37,AK30,AK16,AK57,AK59,AK61)</f>
        <v>4336</v>
      </c>
      <c r="AL62" s="40">
        <f t="shared" ref="AL62" si="486">SUM(AL55,AL53,AL51,AL46,AL37,AL30,AL16,AL57,AL59,AL61)</f>
        <v>4301</v>
      </c>
      <c r="AM62" s="40">
        <f t="shared" ref="AM62" si="487">SUM(AM55,AM53,AM51,AM46,AM37,AM30,AM16,AM57,AM59,AM61)</f>
        <v>4284</v>
      </c>
      <c r="AN62" s="40">
        <f t="shared" ref="AN62" si="488">SUM(AN55,AN53,AN51,AN46,AN37,AN30,AN16,AN57,AN59,AN61)</f>
        <v>4049</v>
      </c>
      <c r="AO62" s="40">
        <f t="shared" ref="AO62" si="489">SUM(AO55,AO53,AO51,AO46,AO37,AO30,AO16,AO57,AO59,AO61)</f>
        <v>3618</v>
      </c>
      <c r="AP62" s="40">
        <f t="shared" ref="AP62" si="490">SUM(AP55,AP53,AP51,AP46,AP37,AP30,AP16,AP57,AP59,AP61)</f>
        <v>3350</v>
      </c>
      <c r="AQ62" s="40">
        <f t="shared" ref="AQ62" si="491">SUM(AQ55,AQ53,AQ51,AQ46,AQ37,AQ30,AQ16,AQ57,AQ59,AQ61)</f>
        <v>3107</v>
      </c>
      <c r="AR62" s="40">
        <f t="shared" ref="AR62" si="492">SUM(AR55,AR53,AR51,AR46,AR37,AR30,AR16,AR57,AR59,AR61)</f>
        <v>2814</v>
      </c>
      <c r="AS62" s="40">
        <f t="shared" ref="AS62" si="493">SUM(AS55,AS53,AS51,AS46,AS37,AS30,AS16,AS57,AS59,AS61)</f>
        <v>2494</v>
      </c>
      <c r="AT62" s="40">
        <f t="shared" ref="AT62" si="494">SUM(AT55,AT53,AT51,AT46,AT37,AT30,AT16,AT57,AT59,AT61)</f>
        <v>2221</v>
      </c>
    </row>
    <row r="64" spans="1:46" x14ac:dyDescent="0.2">
      <c r="B64" s="6" t="s">
        <v>138</v>
      </c>
      <c r="C64" s="6" t="s">
        <v>139</v>
      </c>
      <c r="D64" s="6" t="s">
        <v>141</v>
      </c>
      <c r="E64" s="6" t="s">
        <v>142</v>
      </c>
      <c r="F64" s="6" t="s">
        <v>143</v>
      </c>
      <c r="G64" s="6" t="s">
        <v>144</v>
      </c>
      <c r="H64" s="6" t="s">
        <v>145</v>
      </c>
      <c r="I64" s="6" t="s">
        <v>146</v>
      </c>
      <c r="J64" s="6" t="s">
        <v>147</v>
      </c>
      <c r="K64" s="6" t="s">
        <v>148</v>
      </c>
      <c r="L64" s="6" t="s">
        <v>149</v>
      </c>
      <c r="M64" s="6" t="s">
        <v>150</v>
      </c>
      <c r="N64" s="6" t="s">
        <v>151</v>
      </c>
      <c r="O64" s="6" t="s">
        <v>152</v>
      </c>
      <c r="P64" s="6" t="s">
        <v>153</v>
      </c>
      <c r="Q64" s="6" t="s">
        <v>154</v>
      </c>
      <c r="R64" s="6" t="s">
        <v>155</v>
      </c>
      <c r="S64" s="6" t="s">
        <v>156</v>
      </c>
      <c r="T64" s="6" t="s">
        <v>157</v>
      </c>
      <c r="U64" s="6" t="s">
        <v>158</v>
      </c>
      <c r="V64" s="6" t="s">
        <v>159</v>
      </c>
      <c r="W64" s="6" t="s">
        <v>160</v>
      </c>
      <c r="X64" s="6" t="s">
        <v>161</v>
      </c>
      <c r="Y64" s="6" t="s">
        <v>162</v>
      </c>
      <c r="Z64" s="6" t="s">
        <v>163</v>
      </c>
      <c r="AA64" s="6" t="s">
        <v>164</v>
      </c>
      <c r="AB64" s="6" t="s">
        <v>165</v>
      </c>
      <c r="AC64" s="6" t="s">
        <v>166</v>
      </c>
      <c r="AD64" s="6" t="s">
        <v>167</v>
      </c>
      <c r="AE64" s="6" t="s">
        <v>168</v>
      </c>
      <c r="AF64" s="6" t="s">
        <v>169</v>
      </c>
      <c r="AG64" s="6" t="s">
        <v>170</v>
      </c>
      <c r="AH64" s="6" t="s">
        <v>171</v>
      </c>
      <c r="AI64" s="6" t="s">
        <v>172</v>
      </c>
      <c r="AJ64" s="6" t="s">
        <v>173</v>
      </c>
      <c r="AK64" s="6" t="s">
        <v>174</v>
      </c>
      <c r="AL64" s="6" t="s">
        <v>175</v>
      </c>
      <c r="AM64" s="6" t="s">
        <v>176</v>
      </c>
      <c r="AN64" s="6" t="s">
        <v>177</v>
      </c>
      <c r="AO64" s="6" t="s">
        <v>178</v>
      </c>
      <c r="AP64" s="6" t="s">
        <v>179</v>
      </c>
      <c r="AQ64" s="6" t="s">
        <v>180</v>
      </c>
      <c r="AR64" s="6" t="s">
        <v>181</v>
      </c>
      <c r="AS64" s="6" t="s">
        <v>182</v>
      </c>
      <c r="AT64" s="6" t="s">
        <v>183</v>
      </c>
    </row>
    <row r="65" spans="1:79" s="7" customFormat="1" x14ac:dyDescent="0.2">
      <c r="A65" s="61" t="s">
        <v>235</v>
      </c>
      <c r="B65" s="24">
        <v>43</v>
      </c>
      <c r="C65" s="24">
        <v>12</v>
      </c>
      <c r="D65" s="24">
        <v>21</v>
      </c>
      <c r="E65" s="24">
        <v>0</v>
      </c>
      <c r="F65" s="24">
        <v>15</v>
      </c>
      <c r="G65" s="24">
        <v>14</v>
      </c>
      <c r="H65" s="24">
        <v>42</v>
      </c>
      <c r="I65" s="24">
        <v>65</v>
      </c>
      <c r="J65" s="24">
        <v>0</v>
      </c>
      <c r="K65" s="24">
        <v>0</v>
      </c>
      <c r="L65" s="24">
        <v>0</v>
      </c>
      <c r="M65" s="24">
        <v>188</v>
      </c>
      <c r="N65" s="24">
        <v>161</v>
      </c>
      <c r="O65" s="24">
        <v>131</v>
      </c>
      <c r="P65" s="24">
        <v>101</v>
      </c>
      <c r="Q65" s="24">
        <v>125</v>
      </c>
      <c r="R65" s="24">
        <v>205</v>
      </c>
      <c r="S65" s="24">
        <v>340</v>
      </c>
      <c r="T65" s="24">
        <v>548</v>
      </c>
      <c r="U65" s="24">
        <v>707</v>
      </c>
      <c r="V65" s="24">
        <v>866</v>
      </c>
      <c r="W65" s="24">
        <v>1012</v>
      </c>
      <c r="X65" s="24">
        <v>1337</v>
      </c>
      <c r="Y65" s="24">
        <v>1616</v>
      </c>
      <c r="Z65" s="24">
        <v>1792</v>
      </c>
      <c r="AA65" s="24">
        <v>2013</v>
      </c>
      <c r="AB65" s="24">
        <v>2435</v>
      </c>
      <c r="AC65" s="24">
        <v>2832</v>
      </c>
      <c r="AD65" s="24">
        <v>3241</v>
      </c>
      <c r="AE65" s="24">
        <v>3664</v>
      </c>
      <c r="AF65" s="24">
        <v>3920</v>
      </c>
      <c r="AG65" s="24">
        <v>3939</v>
      </c>
      <c r="AH65" s="24">
        <v>3958</v>
      </c>
      <c r="AI65" s="24">
        <v>3801</v>
      </c>
      <c r="AJ65" s="24">
        <v>3533</v>
      </c>
      <c r="AK65" s="24">
        <v>3236</v>
      </c>
      <c r="AL65" s="24">
        <v>3212</v>
      </c>
      <c r="AM65" s="24">
        <v>3203</v>
      </c>
      <c r="AN65" s="24">
        <v>2999</v>
      </c>
      <c r="AO65" s="24">
        <v>2647</v>
      </c>
      <c r="AP65" s="24">
        <v>2451</v>
      </c>
      <c r="AQ65" s="24">
        <v>2261</v>
      </c>
      <c r="AR65" s="24">
        <v>2002</v>
      </c>
      <c r="AS65" s="24">
        <v>1764</v>
      </c>
      <c r="AT65" s="24">
        <v>1585</v>
      </c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</row>
    <row r="66" spans="1:79" s="7" customFormat="1" x14ac:dyDescent="0.2">
      <c r="A66" s="61" t="s">
        <v>237</v>
      </c>
      <c r="B66" s="24">
        <v>0</v>
      </c>
      <c r="C66" s="24">
        <v>0</v>
      </c>
      <c r="D66" s="24">
        <v>1170</v>
      </c>
      <c r="E66" s="24">
        <v>0</v>
      </c>
      <c r="F66" s="24">
        <v>1915</v>
      </c>
      <c r="G66" s="24">
        <v>2202</v>
      </c>
      <c r="H66" s="24">
        <v>2508</v>
      </c>
      <c r="I66" s="24">
        <v>2801</v>
      </c>
      <c r="J66" s="24">
        <v>0</v>
      </c>
      <c r="K66" s="24">
        <v>0</v>
      </c>
      <c r="L66" s="24">
        <v>0</v>
      </c>
      <c r="M66" s="24">
        <v>468</v>
      </c>
      <c r="N66" s="24">
        <v>660</v>
      </c>
      <c r="O66" s="24">
        <v>1052</v>
      </c>
      <c r="P66" s="24">
        <v>946</v>
      </c>
      <c r="Q66" s="24">
        <v>1429</v>
      </c>
      <c r="R66" s="24">
        <v>1185</v>
      </c>
      <c r="S66" s="24">
        <v>1167</v>
      </c>
      <c r="T66" s="24">
        <v>1077</v>
      </c>
      <c r="U66" s="24">
        <v>1369</v>
      </c>
      <c r="V66" s="24">
        <v>668</v>
      </c>
      <c r="W66" s="24">
        <v>574</v>
      </c>
      <c r="X66" s="24">
        <v>530</v>
      </c>
      <c r="Y66" s="24">
        <v>407</v>
      </c>
      <c r="Z66" s="24">
        <v>312</v>
      </c>
      <c r="AA66" s="24">
        <v>221</v>
      </c>
      <c r="AB66" s="24">
        <v>171</v>
      </c>
      <c r="AC66" s="24">
        <v>150</v>
      </c>
      <c r="AD66" s="24">
        <v>128</v>
      </c>
      <c r="AE66" s="24">
        <v>116</v>
      </c>
      <c r="AF66" s="24">
        <v>127</v>
      </c>
      <c r="AG66" s="24">
        <v>141</v>
      </c>
      <c r="AH66" s="24">
        <v>153</v>
      </c>
      <c r="AI66" s="24">
        <v>296</v>
      </c>
      <c r="AJ66" s="24">
        <v>454</v>
      </c>
      <c r="AK66" s="24">
        <v>491</v>
      </c>
      <c r="AL66" s="24">
        <v>446</v>
      </c>
      <c r="AM66" s="24">
        <v>404</v>
      </c>
      <c r="AN66" s="24">
        <v>385</v>
      </c>
      <c r="AO66" s="24">
        <v>341</v>
      </c>
      <c r="AP66" s="24">
        <v>310</v>
      </c>
      <c r="AQ66" s="24">
        <v>294</v>
      </c>
      <c r="AR66" s="24">
        <v>268</v>
      </c>
      <c r="AS66" s="24">
        <v>244</v>
      </c>
      <c r="AT66" s="24">
        <v>209</v>
      </c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</row>
    <row r="67" spans="1:79" s="7" customFormat="1" x14ac:dyDescent="0.2">
      <c r="A67" s="61" t="s">
        <v>236</v>
      </c>
      <c r="B67" s="24">
        <v>16</v>
      </c>
      <c r="C67" s="24">
        <v>5</v>
      </c>
      <c r="D67" s="24">
        <v>14</v>
      </c>
      <c r="E67" s="24">
        <v>0</v>
      </c>
      <c r="F67" s="24">
        <v>14</v>
      </c>
      <c r="G67" s="24">
        <v>18</v>
      </c>
      <c r="H67" s="24">
        <v>26</v>
      </c>
      <c r="I67" s="24">
        <v>47</v>
      </c>
      <c r="J67" s="24">
        <v>0</v>
      </c>
      <c r="K67" s="24">
        <v>0</v>
      </c>
      <c r="L67" s="24">
        <v>0</v>
      </c>
      <c r="M67" s="24">
        <v>75</v>
      </c>
      <c r="N67" s="24">
        <v>70</v>
      </c>
      <c r="O67" s="24">
        <v>72</v>
      </c>
      <c r="P67" s="24">
        <v>66</v>
      </c>
      <c r="Q67" s="24">
        <v>64</v>
      </c>
      <c r="R67" s="24">
        <v>57</v>
      </c>
      <c r="S67" s="24">
        <v>50</v>
      </c>
      <c r="T67" s="24">
        <v>55</v>
      </c>
      <c r="U67" s="24">
        <v>73</v>
      </c>
      <c r="V67" s="24">
        <v>90</v>
      </c>
      <c r="W67" s="24">
        <v>96</v>
      </c>
      <c r="X67" s="24">
        <v>102</v>
      </c>
      <c r="Y67" s="24">
        <v>111</v>
      </c>
      <c r="Z67" s="24">
        <v>101</v>
      </c>
      <c r="AA67" s="24">
        <v>117</v>
      </c>
      <c r="AB67" s="24">
        <v>138</v>
      </c>
      <c r="AC67" s="24">
        <v>129</v>
      </c>
      <c r="AD67" s="24">
        <v>143</v>
      </c>
      <c r="AE67" s="24">
        <v>159</v>
      </c>
      <c r="AF67" s="24">
        <v>192</v>
      </c>
      <c r="AG67" s="24">
        <v>202</v>
      </c>
      <c r="AH67" s="24">
        <v>192</v>
      </c>
      <c r="AI67" s="24">
        <v>182</v>
      </c>
      <c r="AJ67" s="24">
        <v>171</v>
      </c>
      <c r="AK67" s="24">
        <v>156</v>
      </c>
      <c r="AL67" s="24">
        <v>136</v>
      </c>
      <c r="AM67" s="24">
        <v>125</v>
      </c>
      <c r="AN67" s="24">
        <v>106</v>
      </c>
      <c r="AO67" s="24">
        <v>97</v>
      </c>
      <c r="AP67" s="24">
        <v>96</v>
      </c>
      <c r="AQ67" s="24">
        <v>93</v>
      </c>
      <c r="AR67" s="24">
        <v>91</v>
      </c>
      <c r="AS67" s="24">
        <v>82</v>
      </c>
      <c r="AT67" s="24">
        <v>77</v>
      </c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</row>
    <row r="68" spans="1:79" s="63" customFormat="1" x14ac:dyDescent="0.2">
      <c r="A68" s="64" t="s">
        <v>238</v>
      </c>
      <c r="B68" s="62">
        <v>4</v>
      </c>
      <c r="C68" s="62">
        <v>376</v>
      </c>
      <c r="D68" s="62">
        <v>1220</v>
      </c>
      <c r="E68" s="62">
        <v>0</v>
      </c>
      <c r="F68" s="62">
        <v>1743</v>
      </c>
      <c r="G68" s="62">
        <v>1692</v>
      </c>
      <c r="H68" s="62">
        <v>90</v>
      </c>
      <c r="I68" s="62">
        <v>48</v>
      </c>
      <c r="J68" s="62">
        <v>0</v>
      </c>
      <c r="K68" s="62">
        <v>0</v>
      </c>
      <c r="L68" s="62">
        <v>0</v>
      </c>
      <c r="M68" s="62">
        <v>146</v>
      </c>
      <c r="N68" s="62">
        <v>214</v>
      </c>
      <c r="O68" s="62">
        <v>268</v>
      </c>
      <c r="P68" s="62">
        <v>385</v>
      </c>
      <c r="Q68" s="62">
        <v>378</v>
      </c>
      <c r="R68" s="62">
        <v>350</v>
      </c>
      <c r="S68" s="62">
        <v>351</v>
      </c>
      <c r="T68" s="62">
        <v>299</v>
      </c>
      <c r="U68" s="62">
        <v>242</v>
      </c>
      <c r="V68" s="62">
        <v>228</v>
      </c>
      <c r="W68" s="62">
        <v>192</v>
      </c>
      <c r="X68" s="62">
        <v>237</v>
      </c>
      <c r="Y68" s="62">
        <v>279</v>
      </c>
      <c r="Z68" s="62">
        <v>269</v>
      </c>
      <c r="AA68" s="62">
        <v>278</v>
      </c>
      <c r="AB68" s="62">
        <v>319</v>
      </c>
      <c r="AC68" s="62">
        <v>315</v>
      </c>
      <c r="AD68" s="62">
        <v>301</v>
      </c>
      <c r="AE68" s="62">
        <v>283</v>
      </c>
      <c r="AF68" s="62">
        <v>330</v>
      </c>
      <c r="AG68" s="62">
        <v>376</v>
      </c>
      <c r="AH68" s="62">
        <v>385</v>
      </c>
      <c r="AI68" s="62">
        <v>424</v>
      </c>
      <c r="AJ68" s="62">
        <v>398</v>
      </c>
      <c r="AK68" s="62">
        <v>421</v>
      </c>
      <c r="AL68" s="62">
        <v>471</v>
      </c>
      <c r="AM68" s="62">
        <v>518</v>
      </c>
      <c r="AN68" s="62">
        <v>527</v>
      </c>
      <c r="AO68" s="62">
        <v>502</v>
      </c>
      <c r="AP68" s="62">
        <v>462</v>
      </c>
      <c r="AQ68" s="62">
        <v>434</v>
      </c>
      <c r="AR68" s="62">
        <v>432</v>
      </c>
      <c r="AS68" s="62">
        <v>386</v>
      </c>
      <c r="AT68" s="62">
        <v>336</v>
      </c>
    </row>
    <row r="69" spans="1:79" s="7" customFormat="1" x14ac:dyDescent="0.2">
      <c r="A69" s="61" t="s">
        <v>239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3000</v>
      </c>
      <c r="N69" s="24">
        <v>2854</v>
      </c>
      <c r="O69" s="24">
        <v>3309</v>
      </c>
      <c r="P69" s="24">
        <v>2874</v>
      </c>
      <c r="Q69" s="24">
        <v>2854</v>
      </c>
      <c r="R69" s="24">
        <v>2545</v>
      </c>
      <c r="S69" s="24">
        <v>2834</v>
      </c>
      <c r="T69" s="24">
        <v>2520</v>
      </c>
      <c r="U69" s="24">
        <v>2672</v>
      </c>
      <c r="V69" s="24">
        <v>2631</v>
      </c>
      <c r="W69" s="24">
        <v>2064</v>
      </c>
      <c r="X69" s="24">
        <v>133</v>
      </c>
      <c r="Y69" s="24">
        <v>111</v>
      </c>
      <c r="Z69" s="24">
        <v>90</v>
      </c>
      <c r="AA69" s="24">
        <v>72</v>
      </c>
      <c r="AB69" s="24">
        <v>61</v>
      </c>
      <c r="AC69" s="24">
        <v>51</v>
      </c>
      <c r="AD69" s="24">
        <v>43</v>
      </c>
      <c r="AE69" s="24">
        <v>41</v>
      </c>
      <c r="AF69" s="24">
        <v>35</v>
      </c>
      <c r="AG69" s="24">
        <v>34</v>
      </c>
      <c r="AH69" s="24">
        <v>29</v>
      </c>
      <c r="AI69" s="24">
        <v>26</v>
      </c>
      <c r="AJ69" s="24">
        <v>23</v>
      </c>
      <c r="AK69" s="24">
        <v>17</v>
      </c>
      <c r="AL69" s="24">
        <v>17</v>
      </c>
      <c r="AM69" s="24">
        <v>15</v>
      </c>
      <c r="AN69" s="24">
        <v>13</v>
      </c>
      <c r="AO69" s="24">
        <v>11</v>
      </c>
      <c r="AP69" s="24">
        <v>10</v>
      </c>
      <c r="AQ69" s="24">
        <v>7</v>
      </c>
      <c r="AR69" s="24">
        <v>7</v>
      </c>
      <c r="AS69" s="24">
        <v>5</v>
      </c>
      <c r="AT69" s="24">
        <v>2</v>
      </c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</row>
    <row r="70" spans="1:79" s="7" customFormat="1" x14ac:dyDescent="0.2">
      <c r="A70" s="61" t="s">
        <v>60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8</v>
      </c>
      <c r="AK70" s="24">
        <v>15</v>
      </c>
      <c r="AL70" s="24">
        <v>19</v>
      </c>
      <c r="AM70" s="24">
        <v>19</v>
      </c>
      <c r="AN70" s="24">
        <v>19</v>
      </c>
      <c r="AO70" s="24">
        <v>20</v>
      </c>
      <c r="AP70" s="24">
        <v>21</v>
      </c>
      <c r="AQ70" s="24">
        <v>18</v>
      </c>
      <c r="AR70" s="24">
        <v>14</v>
      </c>
      <c r="AS70" s="24">
        <v>13</v>
      </c>
      <c r="AT70" s="24">
        <v>12</v>
      </c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</row>
    <row r="71" spans="1:79" s="7" customFormat="1" x14ac:dyDescent="0.2">
      <c r="A71" s="61" t="s">
        <v>70</v>
      </c>
      <c r="B71" s="24">
        <v>5</v>
      </c>
      <c r="C71" s="24">
        <v>0</v>
      </c>
      <c r="D71" s="24">
        <v>0</v>
      </c>
      <c r="E71" s="24">
        <v>0</v>
      </c>
      <c r="F71" s="24">
        <v>0</v>
      </c>
      <c r="G71" s="24">
        <v>1</v>
      </c>
      <c r="H71" s="24">
        <v>2</v>
      </c>
      <c r="I71" s="24">
        <v>3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N71" s="24">
        <v>0</v>
      </c>
      <c r="AO71" s="24">
        <v>0</v>
      </c>
      <c r="AP71" s="24">
        <v>0</v>
      </c>
      <c r="AQ71" s="24">
        <v>0</v>
      </c>
      <c r="AR71" s="24">
        <v>0</v>
      </c>
      <c r="AS71" s="24">
        <v>0</v>
      </c>
      <c r="AT71" s="24">
        <v>0</v>
      </c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</row>
    <row r="72" spans="1:79" s="7" customFormat="1" x14ac:dyDescent="0.2">
      <c r="A72" s="61" t="s">
        <v>75</v>
      </c>
      <c r="B72" s="24">
        <v>0</v>
      </c>
      <c r="C72" s="24">
        <v>18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  <c r="AQ72" s="24">
        <v>0</v>
      </c>
      <c r="AR72" s="24">
        <v>0</v>
      </c>
      <c r="AS72" s="24">
        <v>0</v>
      </c>
      <c r="AT72" s="24">
        <v>0</v>
      </c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</row>
    <row r="73" spans="1:79" s="7" customFormat="1" x14ac:dyDescent="0.2">
      <c r="A73" s="61" t="s">
        <v>240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1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</row>
    <row r="74" spans="1:79" s="7" customFormat="1" x14ac:dyDescent="0.2">
      <c r="A74" s="61" t="s">
        <v>89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21</v>
      </c>
      <c r="N74" s="24">
        <v>30</v>
      </c>
      <c r="O74" s="24">
        <v>55</v>
      </c>
      <c r="P74" s="24">
        <v>54</v>
      </c>
      <c r="Q74" s="24">
        <v>49</v>
      </c>
      <c r="R74" s="24">
        <v>44</v>
      </c>
      <c r="S74" s="24">
        <v>47</v>
      </c>
      <c r="T74" s="24">
        <v>41</v>
      </c>
      <c r="U74" s="24">
        <v>38</v>
      </c>
      <c r="V74" s="24">
        <v>34</v>
      </c>
      <c r="W74" s="24">
        <v>31</v>
      </c>
      <c r="X74" s="24">
        <v>28</v>
      </c>
      <c r="Y74" s="24">
        <v>11</v>
      </c>
      <c r="Z74" s="24">
        <v>5</v>
      </c>
      <c r="AA74" s="24">
        <v>5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</row>
    <row r="75" spans="1:79" s="7" customFormat="1" x14ac:dyDescent="0.2">
      <c r="A75" s="61" t="s">
        <v>61</v>
      </c>
      <c r="B75" s="24">
        <v>68</v>
      </c>
      <c r="C75" s="24">
        <v>411</v>
      </c>
      <c r="D75" s="24">
        <v>2425</v>
      </c>
      <c r="E75" s="24">
        <v>0</v>
      </c>
      <c r="F75" s="24">
        <v>3687</v>
      </c>
      <c r="G75" s="24">
        <v>3927</v>
      </c>
      <c r="H75" s="24">
        <v>2668</v>
      </c>
      <c r="I75" s="24">
        <v>2965</v>
      </c>
      <c r="J75" s="24">
        <v>0</v>
      </c>
      <c r="K75" s="24">
        <v>0</v>
      </c>
      <c r="L75" s="24">
        <v>0</v>
      </c>
      <c r="M75" s="24">
        <v>3898</v>
      </c>
      <c r="N75" s="24">
        <v>3989</v>
      </c>
      <c r="O75" s="24">
        <v>4887</v>
      </c>
      <c r="P75" s="24">
        <v>4426</v>
      </c>
      <c r="Q75" s="24">
        <v>4899</v>
      </c>
      <c r="R75" s="24">
        <v>4386</v>
      </c>
      <c r="S75" s="24">
        <v>4789</v>
      </c>
      <c r="T75" s="24">
        <v>4540</v>
      </c>
      <c r="U75" s="24">
        <v>5101</v>
      </c>
      <c r="V75" s="24">
        <v>4517</v>
      </c>
      <c r="W75" s="24">
        <v>3969</v>
      </c>
      <c r="X75" s="24">
        <v>2367</v>
      </c>
      <c r="Y75" s="24">
        <v>2535</v>
      </c>
      <c r="Z75" s="24">
        <v>2569</v>
      </c>
      <c r="AA75" s="24">
        <v>2706</v>
      </c>
      <c r="AB75" s="24">
        <v>3124</v>
      </c>
      <c r="AC75" s="24">
        <v>3477</v>
      </c>
      <c r="AD75" s="24">
        <v>3856</v>
      </c>
      <c r="AE75" s="24">
        <v>4263</v>
      </c>
      <c r="AF75" s="24">
        <v>4604</v>
      </c>
      <c r="AG75" s="24">
        <v>4692</v>
      </c>
      <c r="AH75" s="24">
        <v>4717</v>
      </c>
      <c r="AI75" s="24">
        <v>4729</v>
      </c>
      <c r="AJ75" s="24">
        <v>4587</v>
      </c>
      <c r="AK75" s="24">
        <v>4336</v>
      </c>
      <c r="AL75" s="24">
        <v>4301</v>
      </c>
      <c r="AM75" s="24">
        <v>4284</v>
      </c>
      <c r="AN75" s="24">
        <v>4049</v>
      </c>
      <c r="AO75" s="24">
        <v>3618</v>
      </c>
      <c r="AP75" s="24">
        <v>3350</v>
      </c>
      <c r="AQ75" s="24">
        <v>3107</v>
      </c>
      <c r="AR75" s="24">
        <v>2814</v>
      </c>
      <c r="AS75" s="24">
        <v>2494</v>
      </c>
      <c r="AT75" s="24">
        <v>2221</v>
      </c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</row>
    <row r="77" spans="1:79" x14ac:dyDescent="0.2">
      <c r="B77" s="6" t="s">
        <v>138</v>
      </c>
      <c r="C77" s="6" t="s">
        <v>139</v>
      </c>
      <c r="D77" s="6" t="s">
        <v>141</v>
      </c>
      <c r="E77" s="6" t="s">
        <v>142</v>
      </c>
      <c r="F77" s="6" t="s">
        <v>143</v>
      </c>
      <c r="G77" s="6" t="s">
        <v>144</v>
      </c>
      <c r="H77" s="6" t="s">
        <v>145</v>
      </c>
      <c r="I77" s="6" t="s">
        <v>146</v>
      </c>
      <c r="J77" s="6" t="s">
        <v>147</v>
      </c>
      <c r="K77" s="6" t="s">
        <v>148</v>
      </c>
      <c r="L77" s="6" t="s">
        <v>149</v>
      </c>
      <c r="M77" s="6" t="s">
        <v>150</v>
      </c>
      <c r="N77" s="6" t="s">
        <v>151</v>
      </c>
      <c r="O77" s="6" t="s">
        <v>152</v>
      </c>
      <c r="P77" s="6" t="s">
        <v>153</v>
      </c>
      <c r="Q77" s="6" t="s">
        <v>154</v>
      </c>
      <c r="R77" s="6" t="s">
        <v>155</v>
      </c>
      <c r="S77" s="6" t="s">
        <v>156</v>
      </c>
      <c r="T77" s="6" t="s">
        <v>157</v>
      </c>
      <c r="U77" s="6" t="s">
        <v>158</v>
      </c>
      <c r="V77" s="6" t="s">
        <v>159</v>
      </c>
      <c r="W77" s="6" t="s">
        <v>160</v>
      </c>
      <c r="X77" s="6" t="s">
        <v>161</v>
      </c>
      <c r="Y77" s="6" t="s">
        <v>162</v>
      </c>
      <c r="Z77" s="6" t="s">
        <v>163</v>
      </c>
      <c r="AA77" s="6" t="s">
        <v>164</v>
      </c>
      <c r="AB77" s="6" t="s">
        <v>165</v>
      </c>
      <c r="AC77" s="6" t="s">
        <v>166</v>
      </c>
      <c r="AD77" s="6" t="s">
        <v>167</v>
      </c>
      <c r="AE77" s="6" t="s">
        <v>168</v>
      </c>
      <c r="AF77" s="6" t="s">
        <v>169</v>
      </c>
      <c r="AG77" s="6" t="s">
        <v>170</v>
      </c>
      <c r="AH77" s="6" t="s">
        <v>171</v>
      </c>
      <c r="AI77" s="6" t="s">
        <v>172</v>
      </c>
      <c r="AJ77" s="6" t="s">
        <v>173</v>
      </c>
      <c r="AK77" s="6" t="s">
        <v>174</v>
      </c>
      <c r="AL77" s="6" t="s">
        <v>175</v>
      </c>
      <c r="AM77" s="6" t="s">
        <v>176</v>
      </c>
      <c r="AN77" s="6" t="s">
        <v>177</v>
      </c>
      <c r="AO77" s="6" t="s">
        <v>178</v>
      </c>
      <c r="AP77" s="6" t="s">
        <v>179</v>
      </c>
      <c r="AQ77" s="6" t="s">
        <v>180</v>
      </c>
      <c r="AR77" s="6" t="s">
        <v>181</v>
      </c>
      <c r="AS77" s="6" t="s">
        <v>182</v>
      </c>
      <c r="AT77" s="6" t="s">
        <v>183</v>
      </c>
    </row>
    <row r="78" spans="1:79" ht="24" x14ac:dyDescent="0.2">
      <c r="A78" s="61" t="s">
        <v>241</v>
      </c>
      <c r="B78" s="24">
        <f>B7+B8+B9+B10+B11+B12</f>
        <v>0</v>
      </c>
      <c r="C78" s="24">
        <f t="shared" ref="C78:AT78" si="495">C7+C8+C9+C10+C11+C12</f>
        <v>0</v>
      </c>
      <c r="D78" s="24">
        <f t="shared" si="495"/>
        <v>0</v>
      </c>
      <c r="E78" s="24">
        <f t="shared" si="495"/>
        <v>0</v>
      </c>
      <c r="F78" s="24">
        <f t="shared" si="495"/>
        <v>0</v>
      </c>
      <c r="G78" s="24">
        <f t="shared" si="495"/>
        <v>0</v>
      </c>
      <c r="H78" s="24">
        <f t="shared" si="495"/>
        <v>0</v>
      </c>
      <c r="I78" s="24">
        <f t="shared" si="495"/>
        <v>0</v>
      </c>
      <c r="J78" s="24">
        <f t="shared" si="495"/>
        <v>0</v>
      </c>
      <c r="K78" s="24">
        <f t="shared" si="495"/>
        <v>0</v>
      </c>
      <c r="L78" s="24">
        <f t="shared" si="495"/>
        <v>0</v>
      </c>
      <c r="M78" s="24">
        <f t="shared" si="495"/>
        <v>0</v>
      </c>
      <c r="N78" s="24">
        <f t="shared" si="495"/>
        <v>0</v>
      </c>
      <c r="O78" s="24">
        <f t="shared" si="495"/>
        <v>0</v>
      </c>
      <c r="P78" s="24">
        <f t="shared" si="495"/>
        <v>0</v>
      </c>
      <c r="Q78" s="24">
        <f t="shared" si="495"/>
        <v>0</v>
      </c>
      <c r="R78" s="24">
        <f t="shared" si="495"/>
        <v>0</v>
      </c>
      <c r="S78" s="24">
        <f t="shared" si="495"/>
        <v>0</v>
      </c>
      <c r="T78" s="24">
        <f t="shared" si="495"/>
        <v>0</v>
      </c>
      <c r="U78" s="24">
        <f t="shared" si="495"/>
        <v>0</v>
      </c>
      <c r="V78" s="24">
        <f t="shared" si="495"/>
        <v>0</v>
      </c>
      <c r="W78" s="24">
        <f t="shared" si="495"/>
        <v>0</v>
      </c>
      <c r="X78" s="24">
        <f t="shared" si="495"/>
        <v>0</v>
      </c>
      <c r="Y78" s="24">
        <f t="shared" si="495"/>
        <v>0</v>
      </c>
      <c r="Z78" s="24">
        <f t="shared" si="495"/>
        <v>1535</v>
      </c>
      <c r="AA78" s="24">
        <f t="shared" si="495"/>
        <v>1747</v>
      </c>
      <c r="AB78" s="24">
        <f t="shared" si="495"/>
        <v>2143</v>
      </c>
      <c r="AC78" s="24">
        <f t="shared" si="495"/>
        <v>2495</v>
      </c>
      <c r="AD78" s="24">
        <f t="shared" si="495"/>
        <v>2861</v>
      </c>
      <c r="AE78" s="24">
        <f t="shared" si="495"/>
        <v>3245</v>
      </c>
      <c r="AF78" s="24">
        <f t="shared" si="495"/>
        <v>3485</v>
      </c>
      <c r="AG78" s="24">
        <f t="shared" si="495"/>
        <v>3525</v>
      </c>
      <c r="AH78" s="24">
        <f t="shared" si="495"/>
        <v>3568</v>
      </c>
      <c r="AI78" s="24">
        <f t="shared" si="495"/>
        <v>3544</v>
      </c>
      <c r="AJ78" s="24">
        <f t="shared" si="495"/>
        <v>3357</v>
      </c>
      <c r="AK78" s="24">
        <f t="shared" si="495"/>
        <v>3127</v>
      </c>
      <c r="AL78" s="24">
        <f t="shared" si="495"/>
        <v>3137</v>
      </c>
      <c r="AM78" s="24">
        <f t="shared" si="495"/>
        <v>3090</v>
      </c>
      <c r="AN78" s="24">
        <f t="shared" si="495"/>
        <v>2919</v>
      </c>
      <c r="AO78" s="24">
        <f t="shared" si="495"/>
        <v>2595</v>
      </c>
      <c r="AP78" s="24">
        <f t="shared" si="495"/>
        <v>2420</v>
      </c>
      <c r="AQ78" s="24">
        <f t="shared" si="495"/>
        <v>2242</v>
      </c>
      <c r="AR78" s="24">
        <f t="shared" si="495"/>
        <v>1990</v>
      </c>
      <c r="AS78" s="24">
        <f t="shared" si="495"/>
        <v>1754</v>
      </c>
      <c r="AT78" s="24">
        <f t="shared" si="495"/>
        <v>1577</v>
      </c>
    </row>
    <row r="79" spans="1:79" x14ac:dyDescent="0.2">
      <c r="A79" s="61" t="s">
        <v>245</v>
      </c>
      <c r="B79" s="24">
        <f>B38+B47+B48+B49+B50</f>
        <v>0</v>
      </c>
      <c r="C79" s="24">
        <f t="shared" ref="C79:AT79" si="496">C38+C47+C48+C49+C50</f>
        <v>0</v>
      </c>
      <c r="D79" s="24">
        <f t="shared" si="496"/>
        <v>1</v>
      </c>
      <c r="E79" s="24">
        <f t="shared" si="496"/>
        <v>0</v>
      </c>
      <c r="F79" s="24">
        <f t="shared" si="496"/>
        <v>2</v>
      </c>
      <c r="G79" s="24">
        <f t="shared" si="496"/>
        <v>3</v>
      </c>
      <c r="H79" s="24">
        <f t="shared" si="496"/>
        <v>3</v>
      </c>
      <c r="I79" s="24">
        <f t="shared" si="496"/>
        <v>6</v>
      </c>
      <c r="J79" s="24">
        <f t="shared" si="496"/>
        <v>0</v>
      </c>
      <c r="K79" s="24">
        <f t="shared" si="496"/>
        <v>0</v>
      </c>
      <c r="L79" s="24">
        <f t="shared" si="496"/>
        <v>0</v>
      </c>
      <c r="M79" s="24">
        <f t="shared" si="496"/>
        <v>3146</v>
      </c>
      <c r="N79" s="24">
        <f t="shared" si="496"/>
        <v>3068</v>
      </c>
      <c r="O79" s="24">
        <f t="shared" si="496"/>
        <v>3577</v>
      </c>
      <c r="P79" s="24">
        <f t="shared" si="496"/>
        <v>3259</v>
      </c>
      <c r="Q79" s="24">
        <f t="shared" si="496"/>
        <v>3232</v>
      </c>
      <c r="R79" s="24">
        <f t="shared" si="496"/>
        <v>2895</v>
      </c>
      <c r="S79" s="24">
        <f t="shared" si="496"/>
        <v>3185</v>
      </c>
      <c r="T79" s="24">
        <f t="shared" si="496"/>
        <v>2819</v>
      </c>
      <c r="U79" s="24">
        <f t="shared" si="496"/>
        <v>2914</v>
      </c>
      <c r="V79" s="24">
        <f t="shared" si="496"/>
        <v>2859</v>
      </c>
      <c r="W79" s="24">
        <f t="shared" si="496"/>
        <v>2256</v>
      </c>
      <c r="X79" s="24">
        <f t="shared" si="496"/>
        <v>370</v>
      </c>
      <c r="Y79" s="24">
        <f t="shared" si="496"/>
        <v>390</v>
      </c>
      <c r="Z79" s="24">
        <f t="shared" si="496"/>
        <v>90</v>
      </c>
      <c r="AA79" s="24">
        <f t="shared" si="496"/>
        <v>72</v>
      </c>
      <c r="AB79" s="24">
        <f t="shared" si="496"/>
        <v>61</v>
      </c>
      <c r="AC79" s="24">
        <f t="shared" si="496"/>
        <v>51</v>
      </c>
      <c r="AD79" s="24">
        <f t="shared" si="496"/>
        <v>43</v>
      </c>
      <c r="AE79" s="24">
        <f t="shared" si="496"/>
        <v>41</v>
      </c>
      <c r="AF79" s="24">
        <f t="shared" si="496"/>
        <v>35</v>
      </c>
      <c r="AG79" s="24">
        <f t="shared" si="496"/>
        <v>34</v>
      </c>
      <c r="AH79" s="24">
        <f t="shared" si="496"/>
        <v>29</v>
      </c>
      <c r="AI79" s="24">
        <f t="shared" si="496"/>
        <v>26</v>
      </c>
      <c r="AJ79" s="24">
        <f t="shared" si="496"/>
        <v>23</v>
      </c>
      <c r="AK79" s="24">
        <f t="shared" si="496"/>
        <v>17</v>
      </c>
      <c r="AL79" s="24">
        <f t="shared" si="496"/>
        <v>17</v>
      </c>
      <c r="AM79" s="24">
        <f t="shared" si="496"/>
        <v>15</v>
      </c>
      <c r="AN79" s="24">
        <f t="shared" si="496"/>
        <v>13</v>
      </c>
      <c r="AO79" s="24">
        <f t="shared" si="496"/>
        <v>11</v>
      </c>
      <c r="AP79" s="24">
        <f t="shared" si="496"/>
        <v>10</v>
      </c>
      <c r="AQ79" s="24">
        <f t="shared" si="496"/>
        <v>7</v>
      </c>
      <c r="AR79" s="24">
        <f t="shared" si="496"/>
        <v>7</v>
      </c>
      <c r="AS79" s="24">
        <f t="shared" si="496"/>
        <v>5</v>
      </c>
      <c r="AT79" s="24">
        <f t="shared" si="496"/>
        <v>2</v>
      </c>
    </row>
    <row r="80" spans="1:79" x14ac:dyDescent="0.2">
      <c r="A80" s="61" t="s">
        <v>246</v>
      </c>
      <c r="B80" s="24">
        <f>B75-B78-B79</f>
        <v>68</v>
      </c>
      <c r="C80" s="24">
        <f t="shared" ref="C80:AT80" si="497">C75-C78-C79</f>
        <v>411</v>
      </c>
      <c r="D80" s="24">
        <f t="shared" si="497"/>
        <v>2424</v>
      </c>
      <c r="E80" s="24">
        <f t="shared" si="497"/>
        <v>0</v>
      </c>
      <c r="F80" s="24">
        <f t="shared" si="497"/>
        <v>3685</v>
      </c>
      <c r="G80" s="24">
        <f t="shared" si="497"/>
        <v>3924</v>
      </c>
      <c r="H80" s="24">
        <f t="shared" si="497"/>
        <v>2665</v>
      </c>
      <c r="I80" s="24">
        <f t="shared" si="497"/>
        <v>2959</v>
      </c>
      <c r="J80" s="24">
        <f t="shared" si="497"/>
        <v>0</v>
      </c>
      <c r="K80" s="24">
        <f t="shared" si="497"/>
        <v>0</v>
      </c>
      <c r="L80" s="24">
        <f t="shared" si="497"/>
        <v>0</v>
      </c>
      <c r="M80" s="24">
        <f t="shared" si="497"/>
        <v>752</v>
      </c>
      <c r="N80" s="24">
        <f t="shared" si="497"/>
        <v>921</v>
      </c>
      <c r="O80" s="24">
        <f t="shared" si="497"/>
        <v>1310</v>
      </c>
      <c r="P80" s="24">
        <f t="shared" si="497"/>
        <v>1167</v>
      </c>
      <c r="Q80" s="24">
        <f t="shared" si="497"/>
        <v>1667</v>
      </c>
      <c r="R80" s="24">
        <f t="shared" si="497"/>
        <v>1491</v>
      </c>
      <c r="S80" s="24">
        <f t="shared" si="497"/>
        <v>1604</v>
      </c>
      <c r="T80" s="24">
        <f t="shared" si="497"/>
        <v>1721</v>
      </c>
      <c r="U80" s="24">
        <f t="shared" si="497"/>
        <v>2187</v>
      </c>
      <c r="V80" s="24">
        <f t="shared" si="497"/>
        <v>1658</v>
      </c>
      <c r="W80" s="24">
        <f t="shared" si="497"/>
        <v>1713</v>
      </c>
      <c r="X80" s="24">
        <f t="shared" si="497"/>
        <v>1997</v>
      </c>
      <c r="Y80" s="24">
        <f t="shared" si="497"/>
        <v>2145</v>
      </c>
      <c r="Z80" s="24">
        <f t="shared" si="497"/>
        <v>944</v>
      </c>
      <c r="AA80" s="24">
        <f t="shared" si="497"/>
        <v>887</v>
      </c>
      <c r="AB80" s="24">
        <f t="shared" si="497"/>
        <v>920</v>
      </c>
      <c r="AC80" s="24">
        <f t="shared" si="497"/>
        <v>931</v>
      </c>
      <c r="AD80" s="24">
        <f t="shared" si="497"/>
        <v>952</v>
      </c>
      <c r="AE80" s="24">
        <f t="shared" si="497"/>
        <v>977</v>
      </c>
      <c r="AF80" s="24">
        <f t="shared" si="497"/>
        <v>1084</v>
      </c>
      <c r="AG80" s="24">
        <f t="shared" si="497"/>
        <v>1133</v>
      </c>
      <c r="AH80" s="24">
        <f t="shared" si="497"/>
        <v>1120</v>
      </c>
      <c r="AI80" s="24">
        <f t="shared" si="497"/>
        <v>1159</v>
      </c>
      <c r="AJ80" s="24">
        <f t="shared" si="497"/>
        <v>1207</v>
      </c>
      <c r="AK80" s="24">
        <f t="shared" si="497"/>
        <v>1192</v>
      </c>
      <c r="AL80" s="24">
        <f t="shared" si="497"/>
        <v>1147</v>
      </c>
      <c r="AM80" s="24">
        <f t="shared" si="497"/>
        <v>1179</v>
      </c>
      <c r="AN80" s="24">
        <f t="shared" si="497"/>
        <v>1117</v>
      </c>
      <c r="AO80" s="24">
        <f t="shared" si="497"/>
        <v>1012</v>
      </c>
      <c r="AP80" s="24">
        <f t="shared" si="497"/>
        <v>920</v>
      </c>
      <c r="AQ80" s="24">
        <f t="shared" si="497"/>
        <v>858</v>
      </c>
      <c r="AR80" s="24">
        <f t="shared" si="497"/>
        <v>817</v>
      </c>
      <c r="AS80" s="24">
        <f t="shared" si="497"/>
        <v>735</v>
      </c>
      <c r="AT80" s="24">
        <f t="shared" si="497"/>
        <v>642</v>
      </c>
    </row>
    <row r="87" spans="1:46" x14ac:dyDescent="0.2">
      <c r="A87" s="33" t="s">
        <v>243</v>
      </c>
      <c r="B87" s="33"/>
      <c r="AT87" s="5"/>
    </row>
    <row r="88" spans="1:46" ht="12.5" thickBot="1" x14ac:dyDescent="0.25">
      <c r="B88" s="6" t="s">
        <v>138</v>
      </c>
      <c r="C88" s="6" t="s">
        <v>139</v>
      </c>
      <c r="D88" s="6" t="s">
        <v>141</v>
      </c>
      <c r="E88" s="6" t="s">
        <v>142</v>
      </c>
      <c r="F88" s="6" t="s">
        <v>143</v>
      </c>
      <c r="G88" s="6" t="s">
        <v>144</v>
      </c>
      <c r="H88" s="6" t="s">
        <v>145</v>
      </c>
      <c r="I88" s="6" t="s">
        <v>146</v>
      </c>
      <c r="J88" s="6" t="s">
        <v>147</v>
      </c>
      <c r="K88" s="6" t="s">
        <v>148</v>
      </c>
      <c r="L88" s="6" t="s">
        <v>149</v>
      </c>
      <c r="M88" s="6" t="s">
        <v>150</v>
      </c>
      <c r="N88" s="6" t="s">
        <v>151</v>
      </c>
      <c r="O88" s="6" t="s">
        <v>152</v>
      </c>
      <c r="P88" s="6" t="s">
        <v>153</v>
      </c>
      <c r="Q88" s="6" t="s">
        <v>154</v>
      </c>
      <c r="R88" s="6" t="s">
        <v>155</v>
      </c>
      <c r="S88" s="6" t="s">
        <v>156</v>
      </c>
      <c r="T88" s="6" t="s">
        <v>157</v>
      </c>
      <c r="U88" s="6" t="s">
        <v>158</v>
      </c>
      <c r="V88" s="6" t="s">
        <v>159</v>
      </c>
      <c r="W88" s="6" t="s">
        <v>160</v>
      </c>
      <c r="X88" s="6" t="s">
        <v>161</v>
      </c>
      <c r="Y88" s="6" t="s">
        <v>162</v>
      </c>
      <c r="Z88" s="6" t="s">
        <v>163</v>
      </c>
      <c r="AA88" s="6" t="s">
        <v>164</v>
      </c>
      <c r="AB88" s="6" t="s">
        <v>165</v>
      </c>
      <c r="AC88" s="6" t="s">
        <v>166</v>
      </c>
      <c r="AD88" s="6" t="s">
        <v>167</v>
      </c>
      <c r="AE88" s="6" t="s">
        <v>168</v>
      </c>
      <c r="AF88" s="6" t="s">
        <v>169</v>
      </c>
      <c r="AG88" s="6" t="s">
        <v>170</v>
      </c>
      <c r="AH88" s="6" t="s">
        <v>171</v>
      </c>
      <c r="AI88" s="6" t="s">
        <v>172</v>
      </c>
      <c r="AJ88" s="6" t="s">
        <v>173</v>
      </c>
      <c r="AK88" s="6" t="s">
        <v>174</v>
      </c>
      <c r="AL88" s="6" t="s">
        <v>175</v>
      </c>
      <c r="AM88" s="6" t="s">
        <v>176</v>
      </c>
      <c r="AN88" s="6" t="s">
        <v>177</v>
      </c>
      <c r="AO88" s="6" t="s">
        <v>178</v>
      </c>
      <c r="AP88" s="6" t="s">
        <v>179</v>
      </c>
      <c r="AQ88" s="6" t="s">
        <v>180</v>
      </c>
      <c r="AR88" s="6" t="s">
        <v>181</v>
      </c>
      <c r="AS88" s="6" t="s">
        <v>182</v>
      </c>
      <c r="AT88" s="6" t="s">
        <v>183</v>
      </c>
    </row>
    <row r="89" spans="1:46" x14ac:dyDescent="0.2">
      <c r="A89" s="34" t="s">
        <v>32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</row>
    <row r="90" spans="1:46" x14ac:dyDescent="0.2">
      <c r="A90" s="35" t="s">
        <v>72</v>
      </c>
      <c r="B90" s="24">
        <v>1968040</v>
      </c>
      <c r="C90" s="24">
        <v>6800000</v>
      </c>
      <c r="D90" s="24">
        <f>2277000+2379000</f>
        <v>4656000</v>
      </c>
      <c r="E90" s="24">
        <f>2322000+3298000</f>
        <v>5620000</v>
      </c>
      <c r="F90" s="24">
        <v>3297500</v>
      </c>
      <c r="G90" s="24">
        <v>2434500</v>
      </c>
      <c r="H90" s="24">
        <v>16210621</v>
      </c>
      <c r="I90" s="24">
        <v>26828259</v>
      </c>
      <c r="J90" s="24">
        <v>55658000</v>
      </c>
      <c r="K90" s="24">
        <v>78982000</v>
      </c>
      <c r="L90" s="24">
        <v>92191000</v>
      </c>
      <c r="M90" s="24">
        <v>92464000</v>
      </c>
      <c r="N90" s="24">
        <v>85807719</v>
      </c>
      <c r="O90" s="24">
        <v>77933094</v>
      </c>
      <c r="P90" s="24">
        <v>68491051</v>
      </c>
      <c r="Q90" s="24">
        <v>130543802</v>
      </c>
      <c r="R90" s="24">
        <v>280416519</v>
      </c>
      <c r="S90" s="24">
        <v>552400804</v>
      </c>
      <c r="T90" s="24">
        <v>957280781</v>
      </c>
      <c r="U90" s="24">
        <v>1275642242</v>
      </c>
      <c r="V90" s="24">
        <v>1591330949</v>
      </c>
      <c r="W90" s="24">
        <v>1829540269</v>
      </c>
      <c r="X90" s="24">
        <v>2410832925</v>
      </c>
      <c r="Y90" s="24">
        <v>2834741826</v>
      </c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</row>
    <row r="91" spans="1:46" x14ac:dyDescent="0.2">
      <c r="A91" s="35" t="s">
        <v>109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>
        <v>13675634</v>
      </c>
      <c r="AA91" s="24">
        <v>7457588</v>
      </c>
      <c r="AB91" s="24">
        <v>4845950</v>
      </c>
      <c r="AC91" s="24">
        <v>2853032</v>
      </c>
      <c r="AD91" s="24">
        <v>1728736</v>
      </c>
      <c r="AE91" s="24">
        <v>1100318</v>
      </c>
      <c r="AF91" s="24">
        <v>484970</v>
      </c>
      <c r="AG91" s="24">
        <v>20228</v>
      </c>
      <c r="AH91" s="24">
        <v>0</v>
      </c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</row>
    <row r="92" spans="1:46" ht="24" x14ac:dyDescent="0.2">
      <c r="A92" s="35" t="s">
        <v>33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>
        <v>27272638</v>
      </c>
      <c r="AN92" s="24">
        <v>15348750</v>
      </c>
      <c r="AO92" s="24">
        <v>9186866</v>
      </c>
      <c r="AP92" s="24">
        <v>5119208</v>
      </c>
      <c r="AQ92" s="24">
        <v>2660469</v>
      </c>
      <c r="AR92" s="24">
        <v>1596937</v>
      </c>
      <c r="AS92" s="24">
        <v>1217688</v>
      </c>
      <c r="AT92" s="24">
        <v>973884</v>
      </c>
    </row>
    <row r="93" spans="1:46" x14ac:dyDescent="0.2">
      <c r="A93" s="35" t="s">
        <v>34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>
        <v>1721055771</v>
      </c>
      <c r="AA93" s="24">
        <v>2079838053</v>
      </c>
      <c r="AB93" s="24">
        <v>2442846870</v>
      </c>
      <c r="AC93" s="24">
        <v>3154677376</v>
      </c>
      <c r="AD93" s="24">
        <v>3701746129</v>
      </c>
      <c r="AE93" s="24">
        <v>4191127813</v>
      </c>
      <c r="AF93" s="24">
        <v>4432759194</v>
      </c>
      <c r="AG93" s="24">
        <v>4466720136</v>
      </c>
      <c r="AH93" s="24">
        <v>4393870666</v>
      </c>
      <c r="AI93" s="24">
        <v>4196133970</v>
      </c>
      <c r="AJ93" s="24">
        <v>3627661727</v>
      </c>
      <c r="AK93" s="24">
        <v>3128322147</v>
      </c>
      <c r="AL93" s="24">
        <v>2776181686</v>
      </c>
      <c r="AM93" s="24">
        <v>2352419966</v>
      </c>
      <c r="AN93" s="24">
        <v>2021986272</v>
      </c>
      <c r="AO93" s="24">
        <v>1694319007</v>
      </c>
      <c r="AP93" s="24">
        <v>1483503480</v>
      </c>
      <c r="AQ93" s="24">
        <v>1327540721</v>
      </c>
      <c r="AR93" s="24">
        <v>1190891085</v>
      </c>
      <c r="AS93" s="24">
        <v>1033043342</v>
      </c>
      <c r="AT93" s="24">
        <v>966624150</v>
      </c>
    </row>
    <row r="94" spans="1:46" x14ac:dyDescent="0.2">
      <c r="A94" s="35" t="s">
        <v>35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>
        <v>204095</v>
      </c>
      <c r="AB94" s="24">
        <v>83664</v>
      </c>
      <c r="AC94" s="24">
        <v>0</v>
      </c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</row>
    <row r="95" spans="1:46" x14ac:dyDescent="0.2">
      <c r="A95" s="35" t="s">
        <v>36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>
        <v>141571515</v>
      </c>
      <c r="AA95" s="24">
        <v>153645991</v>
      </c>
      <c r="AB95" s="24">
        <v>145747519</v>
      </c>
      <c r="AC95" s="24">
        <v>133013551</v>
      </c>
      <c r="AD95" s="24">
        <v>111176950</v>
      </c>
      <c r="AE95" s="24">
        <v>87910052</v>
      </c>
      <c r="AF95" s="24">
        <v>77035209</v>
      </c>
      <c r="AG95" s="24">
        <v>62499437</v>
      </c>
      <c r="AH95" s="24">
        <v>51767401</v>
      </c>
      <c r="AI95" s="24">
        <v>41550558</v>
      </c>
      <c r="AJ95" s="24">
        <v>31669798</v>
      </c>
      <c r="AK95" s="24">
        <v>136832368</v>
      </c>
      <c r="AL95" s="24">
        <v>121483000</v>
      </c>
      <c r="AM95" s="24">
        <v>299275611</v>
      </c>
      <c r="AN95" s="24">
        <v>235028578</v>
      </c>
      <c r="AO95" s="24">
        <v>182782175</v>
      </c>
      <c r="AP95" s="24">
        <v>130917000</v>
      </c>
      <c r="AQ95" s="24">
        <v>98907039</v>
      </c>
      <c r="AR95" s="24">
        <v>72045231</v>
      </c>
      <c r="AS95" s="24">
        <v>43083846</v>
      </c>
      <c r="AT95" s="24">
        <v>29774468</v>
      </c>
    </row>
    <row r="96" spans="1:46" x14ac:dyDescent="0.2">
      <c r="A96" s="35" t="s">
        <v>37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>
        <v>1009010950</v>
      </c>
      <c r="AA96" s="24">
        <v>1026753907</v>
      </c>
      <c r="AB96" s="24">
        <v>1464381036</v>
      </c>
      <c r="AC96" s="24">
        <v>1430742753</v>
      </c>
      <c r="AD96" s="24">
        <v>1565457433</v>
      </c>
      <c r="AE96" s="24">
        <v>1633673197</v>
      </c>
      <c r="AF96" s="24">
        <v>1595636623</v>
      </c>
      <c r="AG96" s="24">
        <v>1418283129</v>
      </c>
      <c r="AH96" s="24">
        <v>1249769197</v>
      </c>
      <c r="AI96" s="24">
        <v>1184179567</v>
      </c>
      <c r="AJ96" s="24">
        <v>951078075</v>
      </c>
      <c r="AK96" s="24">
        <v>690066330</v>
      </c>
      <c r="AL96" s="24">
        <v>675352279</v>
      </c>
      <c r="AM96" s="24">
        <v>483756029</v>
      </c>
      <c r="AN96" s="24">
        <v>381163221</v>
      </c>
      <c r="AO96" s="24">
        <v>275892445</v>
      </c>
      <c r="AP96" s="24">
        <v>235893014</v>
      </c>
      <c r="AQ96" s="24">
        <v>192797370</v>
      </c>
      <c r="AR96" s="24">
        <v>145043424</v>
      </c>
      <c r="AS96" s="24">
        <v>119510027</v>
      </c>
      <c r="AT96" s="24">
        <v>121960723</v>
      </c>
    </row>
    <row r="97" spans="1:46" x14ac:dyDescent="0.2">
      <c r="A97" s="35" t="s">
        <v>38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>
        <v>1060000</v>
      </c>
      <c r="AK97" s="24">
        <v>17615119</v>
      </c>
      <c r="AL97" s="24">
        <v>78007926</v>
      </c>
      <c r="AM97" s="24">
        <v>121931469</v>
      </c>
      <c r="AN97" s="24">
        <v>168906161</v>
      </c>
      <c r="AO97" s="24">
        <v>195811764</v>
      </c>
      <c r="AP97" s="24">
        <v>213050456</v>
      </c>
      <c r="AQ97" s="24">
        <v>215977152</v>
      </c>
      <c r="AR97" s="24">
        <v>193697797</v>
      </c>
      <c r="AS97" s="24">
        <v>173712375</v>
      </c>
      <c r="AT97" s="24">
        <v>150096293</v>
      </c>
    </row>
    <row r="98" spans="1:46" x14ac:dyDescent="0.2">
      <c r="A98" s="35" t="s">
        <v>39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>
        <v>11466293</v>
      </c>
      <c r="AM98" s="24">
        <v>36958357</v>
      </c>
      <c r="AN98" s="24">
        <v>74692591</v>
      </c>
      <c r="AO98" s="24">
        <v>58710291</v>
      </c>
      <c r="AP98" s="24">
        <v>55862374</v>
      </c>
      <c r="AQ98" s="24">
        <v>42334045</v>
      </c>
      <c r="AR98" s="24">
        <v>25208583</v>
      </c>
      <c r="AS98" s="24">
        <v>19504549</v>
      </c>
      <c r="AT98" s="24">
        <v>19828266</v>
      </c>
    </row>
    <row r="99" spans="1:46" x14ac:dyDescent="0.2">
      <c r="A99" s="35" t="s">
        <v>40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>
        <v>153294404</v>
      </c>
      <c r="AA99" s="24">
        <v>185993241</v>
      </c>
      <c r="AB99" s="24">
        <v>191765054</v>
      </c>
      <c r="AC99" s="24">
        <v>165289474</v>
      </c>
      <c r="AD99" s="24">
        <v>141688013</v>
      </c>
      <c r="AE99" s="24">
        <v>121816257</v>
      </c>
      <c r="AF99" s="24">
        <v>116071659</v>
      </c>
      <c r="AG99" s="24">
        <v>111242769</v>
      </c>
      <c r="AH99" s="24">
        <v>101070703</v>
      </c>
      <c r="AI99" s="24">
        <v>59630460</v>
      </c>
      <c r="AJ99" s="24">
        <v>31370714</v>
      </c>
      <c r="AK99" s="24">
        <v>18375251</v>
      </c>
      <c r="AL99" s="24">
        <v>8688385</v>
      </c>
      <c r="AM99" s="24">
        <v>4865447</v>
      </c>
      <c r="AN99" s="24">
        <v>2524125</v>
      </c>
      <c r="AO99" s="24">
        <v>1448067</v>
      </c>
      <c r="AP99" s="24">
        <v>641342</v>
      </c>
      <c r="AQ99" s="24">
        <v>120339</v>
      </c>
      <c r="AR99" s="24"/>
      <c r="AS99" s="24"/>
      <c r="AT99" s="24"/>
    </row>
    <row r="100" spans="1:46" x14ac:dyDescent="0.2">
      <c r="A100" s="35" t="s">
        <v>41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>
        <v>39653108</v>
      </c>
      <c r="AA100" s="24">
        <v>34890214</v>
      </c>
      <c r="AB100" s="24">
        <v>35554770</v>
      </c>
      <c r="AC100" s="24">
        <v>31187479</v>
      </c>
      <c r="AD100" s="24">
        <v>24489811</v>
      </c>
      <c r="AE100" s="24">
        <v>25638918</v>
      </c>
      <c r="AF100" s="24">
        <v>27205524</v>
      </c>
      <c r="AG100" s="24">
        <v>23550447</v>
      </c>
      <c r="AH100" s="24">
        <v>24364936</v>
      </c>
      <c r="AI100" s="24">
        <v>16096633</v>
      </c>
      <c r="AJ100" s="24">
        <v>10448323</v>
      </c>
      <c r="AK100" s="24">
        <v>6854865</v>
      </c>
      <c r="AL100" s="24">
        <v>4800122</v>
      </c>
      <c r="AM100" s="24">
        <v>1323315</v>
      </c>
      <c r="AN100" s="24">
        <v>1118056</v>
      </c>
      <c r="AO100" s="24">
        <v>889313</v>
      </c>
      <c r="AP100" s="24">
        <v>859809</v>
      </c>
      <c r="AQ100" s="24">
        <v>781002</v>
      </c>
      <c r="AR100" s="24">
        <v>698164</v>
      </c>
      <c r="AS100" s="24">
        <v>611090</v>
      </c>
      <c r="AT100" s="24">
        <v>519560</v>
      </c>
    </row>
    <row r="101" spans="1:46" x14ac:dyDescent="0.2">
      <c r="A101" s="35" t="s">
        <v>42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>
        <v>115107982</v>
      </c>
      <c r="AD101" s="24">
        <v>240820320</v>
      </c>
      <c r="AE101" s="24">
        <v>286583521</v>
      </c>
      <c r="AF101" s="24">
        <v>296452751</v>
      </c>
      <c r="AG101" s="24">
        <v>250052973</v>
      </c>
      <c r="AH101" s="24">
        <v>218420828</v>
      </c>
      <c r="AI101" s="24">
        <v>154518037</v>
      </c>
      <c r="AJ101" s="24">
        <v>109620908</v>
      </c>
      <c r="AK101" s="24">
        <v>74987939</v>
      </c>
      <c r="AL101" s="24">
        <v>51774940</v>
      </c>
      <c r="AM101" s="24">
        <v>33124981</v>
      </c>
      <c r="AN101" s="24">
        <v>21551968</v>
      </c>
      <c r="AO101" s="24">
        <v>13059230</v>
      </c>
      <c r="AP101" s="24">
        <v>9473740</v>
      </c>
      <c r="AQ101" s="24">
        <v>7919706</v>
      </c>
      <c r="AR101" s="24">
        <v>6872274</v>
      </c>
      <c r="AS101" s="24">
        <v>5789160</v>
      </c>
      <c r="AT101" s="24">
        <v>4528393</v>
      </c>
    </row>
    <row r="102" spans="1:46" s="26" customFormat="1" x14ac:dyDescent="0.2">
      <c r="A102" s="36" t="s">
        <v>73</v>
      </c>
      <c r="B102" s="25">
        <f t="shared" ref="B102" si="498">SUM(B90:B101)</f>
        <v>1968040</v>
      </c>
      <c r="C102" s="25">
        <f t="shared" ref="C102:V102" si="499">SUM(C90:C101)</f>
        <v>6800000</v>
      </c>
      <c r="D102" s="25">
        <f t="shared" si="499"/>
        <v>4656000</v>
      </c>
      <c r="E102" s="25">
        <f t="shared" si="499"/>
        <v>5620000</v>
      </c>
      <c r="F102" s="25">
        <f t="shared" si="499"/>
        <v>3297500</v>
      </c>
      <c r="G102" s="25">
        <f t="shared" si="499"/>
        <v>2434500</v>
      </c>
      <c r="H102" s="25">
        <f t="shared" si="499"/>
        <v>16210621</v>
      </c>
      <c r="I102" s="25">
        <f t="shared" si="499"/>
        <v>26828259</v>
      </c>
      <c r="J102" s="25">
        <f t="shared" si="499"/>
        <v>55658000</v>
      </c>
      <c r="K102" s="25">
        <f t="shared" si="499"/>
        <v>78982000</v>
      </c>
      <c r="L102" s="25">
        <f t="shared" si="499"/>
        <v>92191000</v>
      </c>
      <c r="M102" s="25">
        <f t="shared" si="499"/>
        <v>92464000</v>
      </c>
      <c r="N102" s="25">
        <f t="shared" si="499"/>
        <v>85807719</v>
      </c>
      <c r="O102" s="25">
        <f t="shared" si="499"/>
        <v>77933094</v>
      </c>
      <c r="P102" s="25">
        <f t="shared" si="499"/>
        <v>68491051</v>
      </c>
      <c r="Q102" s="25">
        <f t="shared" si="499"/>
        <v>130543802</v>
      </c>
      <c r="R102" s="25">
        <f t="shared" si="499"/>
        <v>280416519</v>
      </c>
      <c r="S102" s="25">
        <f t="shared" si="499"/>
        <v>552400804</v>
      </c>
      <c r="T102" s="25">
        <f t="shared" si="499"/>
        <v>957280781</v>
      </c>
      <c r="U102" s="25">
        <f t="shared" si="499"/>
        <v>1275642242</v>
      </c>
      <c r="V102" s="25">
        <f t="shared" si="499"/>
        <v>1591330949</v>
      </c>
      <c r="W102" s="25">
        <f t="shared" ref="W102:AT102" si="500">SUM(W90:W101)</f>
        <v>1829540269</v>
      </c>
      <c r="X102" s="25">
        <v>2410832925</v>
      </c>
      <c r="Y102" s="25">
        <f t="shared" si="500"/>
        <v>2834741826</v>
      </c>
      <c r="Z102" s="25">
        <f t="shared" si="500"/>
        <v>3078261382</v>
      </c>
      <c r="AA102" s="25">
        <f t="shared" si="500"/>
        <v>3488783089</v>
      </c>
      <c r="AB102" s="25">
        <f t="shared" si="500"/>
        <v>4285224863</v>
      </c>
      <c r="AC102" s="25">
        <f t="shared" si="500"/>
        <v>5032871647</v>
      </c>
      <c r="AD102" s="25">
        <f t="shared" si="500"/>
        <v>5787107392</v>
      </c>
      <c r="AE102" s="25">
        <f t="shared" si="500"/>
        <v>6347850076</v>
      </c>
      <c r="AF102" s="25">
        <f t="shared" si="500"/>
        <v>6545645930</v>
      </c>
      <c r="AG102" s="25">
        <f t="shared" si="500"/>
        <v>6332369119</v>
      </c>
      <c r="AH102" s="25">
        <f t="shared" si="500"/>
        <v>6039263731</v>
      </c>
      <c r="AI102" s="25">
        <f t="shared" si="500"/>
        <v>5652109225</v>
      </c>
      <c r="AJ102" s="25">
        <f t="shared" si="500"/>
        <v>4762909545</v>
      </c>
      <c r="AK102" s="25">
        <f t="shared" si="500"/>
        <v>4073054019</v>
      </c>
      <c r="AL102" s="25">
        <f t="shared" si="500"/>
        <v>3727754631</v>
      </c>
      <c r="AM102" s="25">
        <f t="shared" si="500"/>
        <v>3360927813</v>
      </c>
      <c r="AN102" s="25">
        <f t="shared" si="500"/>
        <v>2922319722</v>
      </c>
      <c r="AO102" s="25">
        <f t="shared" si="500"/>
        <v>2432099158</v>
      </c>
      <c r="AP102" s="25">
        <f t="shared" si="500"/>
        <v>2135320423</v>
      </c>
      <c r="AQ102" s="25">
        <f t="shared" si="500"/>
        <v>1889037843</v>
      </c>
      <c r="AR102" s="25">
        <f t="shared" si="500"/>
        <v>1636053495</v>
      </c>
      <c r="AS102" s="25">
        <f t="shared" si="500"/>
        <v>1396472077</v>
      </c>
      <c r="AT102" s="25">
        <f t="shared" si="500"/>
        <v>1294305737</v>
      </c>
    </row>
    <row r="103" spans="1:46" x14ac:dyDescent="0.2">
      <c r="A103" s="35" t="s">
        <v>90</v>
      </c>
      <c r="B103" s="24"/>
      <c r="C103" s="24"/>
      <c r="D103" s="24"/>
      <c r="E103" s="24"/>
      <c r="F103" s="24"/>
      <c r="G103" s="24"/>
      <c r="H103" s="24"/>
      <c r="I103" s="24"/>
      <c r="J103" s="24">
        <v>1058000</v>
      </c>
      <c r="K103" s="24">
        <v>2119000</v>
      </c>
      <c r="L103" s="24">
        <v>44590000</v>
      </c>
      <c r="M103" s="24">
        <v>45556000</v>
      </c>
      <c r="N103" s="24">
        <v>63350053</v>
      </c>
      <c r="O103" s="24">
        <v>90476219</v>
      </c>
      <c r="P103" s="24">
        <v>95829009</v>
      </c>
      <c r="Q103" s="24">
        <v>138218615</v>
      </c>
      <c r="R103" s="24">
        <v>154550506</v>
      </c>
      <c r="S103" s="24">
        <v>156015533</v>
      </c>
      <c r="T103" s="24">
        <v>138247590</v>
      </c>
      <c r="U103" s="24">
        <v>106821529</v>
      </c>
      <c r="V103" s="24">
        <v>97794565</v>
      </c>
      <c r="W103" s="24">
        <v>95334195</v>
      </c>
      <c r="X103" s="24">
        <v>83955878</v>
      </c>
      <c r="Y103" s="24">
        <v>65571604</v>
      </c>
      <c r="Z103" s="24">
        <v>7613000</v>
      </c>
      <c r="AA103" s="24">
        <v>1929100</v>
      </c>
      <c r="AB103" s="24">
        <v>1064800</v>
      </c>
      <c r="AC103" s="24">
        <v>85600</v>
      </c>
      <c r="AD103" s="24">
        <v>0</v>
      </c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</row>
    <row r="104" spans="1:46" x14ac:dyDescent="0.2">
      <c r="A104" s="35" t="s">
        <v>43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>
        <v>1237813</v>
      </c>
      <c r="AG104" s="24">
        <v>4080025</v>
      </c>
      <c r="AH104" s="24">
        <v>5484021</v>
      </c>
      <c r="AI104" s="24">
        <v>2346143</v>
      </c>
      <c r="AJ104" s="24">
        <v>1511047</v>
      </c>
      <c r="AK104" s="24">
        <v>676448</v>
      </c>
      <c r="AL104" s="24">
        <v>355659</v>
      </c>
      <c r="AM104" s="24">
        <v>249314</v>
      </c>
      <c r="AN104" s="24">
        <v>228277</v>
      </c>
      <c r="AO104" s="24">
        <v>183826</v>
      </c>
      <c r="AP104" s="24">
        <v>100389</v>
      </c>
      <c r="AQ104" s="24"/>
      <c r="AR104" s="24"/>
      <c r="AS104" s="24"/>
      <c r="AT104" s="24"/>
    </row>
    <row r="105" spans="1:46" x14ac:dyDescent="0.2">
      <c r="A105" s="35" t="s">
        <v>44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>
        <v>990653</v>
      </c>
      <c r="AM105" s="24">
        <v>403511</v>
      </c>
      <c r="AN105" s="24">
        <v>627143</v>
      </c>
      <c r="AO105" s="24">
        <v>321707</v>
      </c>
      <c r="AP105" s="24">
        <v>61524</v>
      </c>
      <c r="AQ105" s="24"/>
      <c r="AR105" s="24"/>
      <c r="AS105" s="24"/>
      <c r="AT105" s="24"/>
    </row>
    <row r="106" spans="1:46" x14ac:dyDescent="0.2">
      <c r="A106" s="35" t="s">
        <v>45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>
        <v>8477541</v>
      </c>
      <c r="AG106" s="24">
        <v>17040291</v>
      </c>
      <c r="AH106" s="24">
        <v>23229194</v>
      </c>
      <c r="AI106" s="24">
        <v>16720487</v>
      </c>
      <c r="AJ106" s="24">
        <v>32927086</v>
      </c>
      <c r="AK106" s="24">
        <v>46386168</v>
      </c>
      <c r="AL106" s="24">
        <v>41786612</v>
      </c>
      <c r="AM106" s="24">
        <v>44016200</v>
      </c>
      <c r="AN106" s="24">
        <v>46262844</v>
      </c>
      <c r="AO106" s="24">
        <v>36901417</v>
      </c>
      <c r="AP106" s="24">
        <v>29003321</v>
      </c>
      <c r="AQ106" s="24">
        <v>23837533</v>
      </c>
      <c r="AR106" s="24">
        <v>18655440</v>
      </c>
      <c r="AS106" s="24">
        <v>16693425</v>
      </c>
      <c r="AT106" s="24">
        <v>11008796</v>
      </c>
    </row>
    <row r="107" spans="1:46" x14ac:dyDescent="0.2">
      <c r="A107" s="35" t="s">
        <v>46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>
        <v>2000000</v>
      </c>
      <c r="AG107" s="24">
        <v>2778994</v>
      </c>
      <c r="AH107" s="24">
        <v>3911717</v>
      </c>
      <c r="AI107" s="24">
        <v>3021291</v>
      </c>
      <c r="AJ107" s="24">
        <v>1645875</v>
      </c>
      <c r="AK107" s="24">
        <v>40712</v>
      </c>
      <c r="AL107" s="24"/>
      <c r="AM107" s="24"/>
      <c r="AN107" s="24"/>
      <c r="AO107" s="24"/>
      <c r="AP107" s="24"/>
      <c r="AQ107" s="24"/>
      <c r="AR107" s="24"/>
      <c r="AS107" s="24"/>
      <c r="AT107" s="24"/>
    </row>
    <row r="108" spans="1:46" ht="24" x14ac:dyDescent="0.2">
      <c r="A108" s="35" t="s">
        <v>47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>
        <v>118326792</v>
      </c>
      <c r="AJ108" s="24">
        <v>142166142</v>
      </c>
      <c r="AK108" s="24">
        <v>111633682</v>
      </c>
      <c r="AL108" s="24">
        <v>77994229</v>
      </c>
      <c r="AM108" s="24">
        <v>52438688</v>
      </c>
      <c r="AN108" s="24">
        <v>42812692</v>
      </c>
      <c r="AO108" s="24">
        <v>32741596</v>
      </c>
      <c r="AP108" s="24">
        <v>48305420</v>
      </c>
      <c r="AQ108" s="24">
        <v>48606040</v>
      </c>
      <c r="AR108" s="24">
        <v>48123481</v>
      </c>
      <c r="AS108" s="24">
        <v>38068378</v>
      </c>
      <c r="AT108" s="24">
        <v>39485221</v>
      </c>
    </row>
    <row r="109" spans="1:46" x14ac:dyDescent="0.2">
      <c r="A109" s="35" t="s">
        <v>48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>
        <v>493283</v>
      </c>
      <c r="AG109" s="24">
        <v>839524</v>
      </c>
      <c r="AH109" s="24">
        <v>1245326</v>
      </c>
      <c r="AI109" s="24">
        <v>555698</v>
      </c>
      <c r="AJ109" s="24">
        <v>108176</v>
      </c>
      <c r="AK109" s="24">
        <v>0</v>
      </c>
      <c r="AL109" s="24"/>
      <c r="AM109" s="24"/>
      <c r="AN109" s="24"/>
      <c r="AO109" s="24"/>
      <c r="AP109" s="24"/>
      <c r="AQ109" s="24"/>
      <c r="AR109" s="24"/>
      <c r="AS109" s="24"/>
      <c r="AT109" s="24"/>
    </row>
    <row r="110" spans="1:46" x14ac:dyDescent="0.2">
      <c r="A110" s="35" t="s">
        <v>49</v>
      </c>
      <c r="B110" s="24"/>
      <c r="C110" s="24"/>
      <c r="D110" s="24">
        <v>14539000</v>
      </c>
      <c r="E110" s="24">
        <v>58337000</v>
      </c>
      <c r="F110" s="24">
        <v>16724564</v>
      </c>
      <c r="G110" s="24">
        <v>18871943</v>
      </c>
      <c r="H110" s="24">
        <v>18942875</v>
      </c>
      <c r="I110" s="24">
        <v>26731970</v>
      </c>
      <c r="J110" s="24">
        <v>39082000</v>
      </c>
      <c r="K110" s="24">
        <v>94408000</v>
      </c>
      <c r="L110" s="24">
        <v>162428000</v>
      </c>
      <c r="M110" s="24">
        <v>143788000</v>
      </c>
      <c r="N110" s="24">
        <v>125603272</v>
      </c>
      <c r="O110" s="24">
        <v>144738325</v>
      </c>
      <c r="P110" s="24">
        <v>226325752</v>
      </c>
      <c r="Q110" s="24">
        <v>259576118</v>
      </c>
      <c r="R110" s="24">
        <v>315730285</v>
      </c>
      <c r="S110" s="24">
        <v>299644292</v>
      </c>
      <c r="T110" s="24">
        <v>233330403</v>
      </c>
      <c r="U110" s="24">
        <v>151947337</v>
      </c>
      <c r="V110" s="24">
        <v>97249944</v>
      </c>
      <c r="W110" s="24">
        <v>64456400</v>
      </c>
      <c r="X110" s="24">
        <v>49413700</v>
      </c>
      <c r="Y110" s="24">
        <v>36486700</v>
      </c>
      <c r="Z110" s="24">
        <v>31563900</v>
      </c>
      <c r="AA110" s="24">
        <v>30581500</v>
      </c>
      <c r="AB110" s="24">
        <v>37030500</v>
      </c>
      <c r="AC110" s="24">
        <v>36179567</v>
      </c>
      <c r="AD110" s="24">
        <v>35611519</v>
      </c>
      <c r="AE110" s="24">
        <v>31744925</v>
      </c>
      <c r="AF110" s="24">
        <v>29150994</v>
      </c>
      <c r="AG110" s="24">
        <v>26093206</v>
      </c>
      <c r="AH110" s="24">
        <v>30284038</v>
      </c>
      <c r="AI110" s="24">
        <v>18711443</v>
      </c>
      <c r="AJ110" s="24">
        <v>69675497</v>
      </c>
      <c r="AK110" s="24">
        <v>114921016</v>
      </c>
      <c r="AL110" s="24">
        <v>142244393</v>
      </c>
      <c r="AM110" s="24">
        <v>184392991</v>
      </c>
      <c r="AN110" s="24">
        <v>197385606</v>
      </c>
      <c r="AO110" s="24">
        <v>192006849</v>
      </c>
      <c r="AP110" s="24">
        <v>183006557</v>
      </c>
      <c r="AQ110" s="24">
        <v>186159737</v>
      </c>
      <c r="AR110" s="24">
        <v>149658482</v>
      </c>
      <c r="AS110" s="24">
        <v>140142792</v>
      </c>
      <c r="AT110" s="24">
        <v>121025432</v>
      </c>
    </row>
    <row r="111" spans="1:46" x14ac:dyDescent="0.2">
      <c r="A111" s="35" t="s">
        <v>111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>
        <v>614500</v>
      </c>
      <c r="AA111" s="24">
        <v>369000</v>
      </c>
      <c r="AB111" s="24">
        <v>433200</v>
      </c>
      <c r="AC111" s="24">
        <v>29400</v>
      </c>
      <c r="AD111" s="24">
        <v>0</v>
      </c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</row>
    <row r="112" spans="1:46" ht="24" x14ac:dyDescent="0.2">
      <c r="A112" s="35" t="s">
        <v>91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>
        <v>0</v>
      </c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>
        <v>47900314</v>
      </c>
      <c r="AA112" s="24">
        <v>41538110</v>
      </c>
      <c r="AB112" s="24">
        <v>32238799</v>
      </c>
      <c r="AC112" s="24">
        <v>32227470</v>
      </c>
      <c r="AD112" s="24">
        <v>27360363</v>
      </c>
      <c r="AE112" s="24">
        <v>19189756</v>
      </c>
      <c r="AF112" s="24">
        <v>17932716</v>
      </c>
      <c r="AG112" s="24">
        <v>17113268</v>
      </c>
      <c r="AH112" s="24">
        <v>15685609</v>
      </c>
      <c r="AI112" s="24">
        <v>10449719</v>
      </c>
      <c r="AJ112" s="24">
        <v>5443322</v>
      </c>
      <c r="AK112" s="24">
        <v>1799296</v>
      </c>
      <c r="AL112" s="24"/>
      <c r="AM112" s="24"/>
      <c r="AN112" s="24"/>
      <c r="AO112" s="24"/>
      <c r="AP112" s="24"/>
      <c r="AQ112" s="24"/>
      <c r="AR112" s="24"/>
      <c r="AS112" s="24"/>
      <c r="AT112" s="24"/>
    </row>
    <row r="113" spans="1:46" x14ac:dyDescent="0.2">
      <c r="A113" s="35" t="s">
        <v>110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>
        <v>975200</v>
      </c>
      <c r="AA113" s="24">
        <v>664900</v>
      </c>
      <c r="AB113" s="24">
        <v>657000</v>
      </c>
      <c r="AC113" s="24">
        <v>267000</v>
      </c>
      <c r="AD113" s="24">
        <v>85000</v>
      </c>
      <c r="AE113" s="24">
        <v>0</v>
      </c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</row>
    <row r="114" spans="1:46" x14ac:dyDescent="0.2">
      <c r="A114" s="35" t="s">
        <v>112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>
        <v>975000</v>
      </c>
      <c r="AA114" s="24">
        <v>400400</v>
      </c>
      <c r="AB114" s="24">
        <v>187000</v>
      </c>
      <c r="AC114" s="24">
        <v>6000</v>
      </c>
      <c r="AD114" s="24">
        <v>0</v>
      </c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</row>
    <row r="115" spans="1:46" x14ac:dyDescent="0.2">
      <c r="A115" s="35" t="s">
        <v>113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>
        <v>105370</v>
      </c>
      <c r="AA115" s="24">
        <v>232800</v>
      </c>
      <c r="AB115" s="24">
        <v>54950</v>
      </c>
      <c r="AC115" s="24">
        <v>0</v>
      </c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</row>
    <row r="116" spans="1:46" s="26" customFormat="1" x14ac:dyDescent="0.2">
      <c r="A116" s="36" t="s">
        <v>73</v>
      </c>
      <c r="B116" s="25">
        <f t="shared" ref="B116:V116" si="501">SUM(B103:B115)</f>
        <v>0</v>
      </c>
      <c r="C116" s="25">
        <f t="shared" si="501"/>
        <v>0</v>
      </c>
      <c r="D116" s="25">
        <f t="shared" si="501"/>
        <v>14539000</v>
      </c>
      <c r="E116" s="25">
        <f t="shared" si="501"/>
        <v>58337000</v>
      </c>
      <c r="F116" s="25">
        <f t="shared" si="501"/>
        <v>16724564</v>
      </c>
      <c r="G116" s="25">
        <f t="shared" si="501"/>
        <v>18871943</v>
      </c>
      <c r="H116" s="25">
        <f t="shared" si="501"/>
        <v>18942875</v>
      </c>
      <c r="I116" s="25">
        <f t="shared" si="501"/>
        <v>26731970</v>
      </c>
      <c r="J116" s="25">
        <f t="shared" si="501"/>
        <v>40140000</v>
      </c>
      <c r="K116" s="25">
        <f t="shared" si="501"/>
        <v>96527000</v>
      </c>
      <c r="L116" s="25">
        <f t="shared" si="501"/>
        <v>207018000</v>
      </c>
      <c r="M116" s="25">
        <f t="shared" si="501"/>
        <v>189344000</v>
      </c>
      <c r="N116" s="25">
        <f t="shared" si="501"/>
        <v>188953325</v>
      </c>
      <c r="O116" s="25">
        <f t="shared" si="501"/>
        <v>235214544</v>
      </c>
      <c r="P116" s="25">
        <f t="shared" si="501"/>
        <v>322154761</v>
      </c>
      <c r="Q116" s="25">
        <f t="shared" si="501"/>
        <v>397794733</v>
      </c>
      <c r="R116" s="25">
        <f t="shared" si="501"/>
        <v>470280791</v>
      </c>
      <c r="S116" s="25">
        <f t="shared" si="501"/>
        <v>455659825</v>
      </c>
      <c r="T116" s="25">
        <f t="shared" si="501"/>
        <v>371577993</v>
      </c>
      <c r="U116" s="25">
        <f t="shared" si="501"/>
        <v>258768866</v>
      </c>
      <c r="V116" s="25">
        <f t="shared" si="501"/>
        <v>195044509</v>
      </c>
      <c r="W116" s="25">
        <f t="shared" ref="W116:AT116" si="502">SUM(W103:W115)</f>
        <v>159790595</v>
      </c>
      <c r="X116" s="25">
        <v>133369578</v>
      </c>
      <c r="Y116" s="25">
        <f t="shared" si="502"/>
        <v>102058304</v>
      </c>
      <c r="Z116" s="25">
        <f t="shared" si="502"/>
        <v>89747284</v>
      </c>
      <c r="AA116" s="25">
        <f t="shared" si="502"/>
        <v>75715810</v>
      </c>
      <c r="AB116" s="25">
        <f t="shared" si="502"/>
        <v>71666249</v>
      </c>
      <c r="AC116" s="25">
        <f t="shared" si="502"/>
        <v>68795037</v>
      </c>
      <c r="AD116" s="25">
        <f t="shared" si="502"/>
        <v>63056882</v>
      </c>
      <c r="AE116" s="25">
        <f t="shared" si="502"/>
        <v>50934681</v>
      </c>
      <c r="AF116" s="25">
        <f t="shared" si="502"/>
        <v>59292347</v>
      </c>
      <c r="AG116" s="25">
        <f t="shared" si="502"/>
        <v>67945308</v>
      </c>
      <c r="AH116" s="25">
        <f t="shared" si="502"/>
        <v>79839905</v>
      </c>
      <c r="AI116" s="25">
        <f t="shared" si="502"/>
        <v>170131573</v>
      </c>
      <c r="AJ116" s="25">
        <f t="shared" si="502"/>
        <v>253477145</v>
      </c>
      <c r="AK116" s="25">
        <f t="shared" si="502"/>
        <v>275457322</v>
      </c>
      <c r="AL116" s="25">
        <f t="shared" si="502"/>
        <v>263371546</v>
      </c>
      <c r="AM116" s="25">
        <f t="shared" si="502"/>
        <v>281500704</v>
      </c>
      <c r="AN116" s="25">
        <f t="shared" si="502"/>
        <v>287316562</v>
      </c>
      <c r="AO116" s="25">
        <f t="shared" si="502"/>
        <v>262155395</v>
      </c>
      <c r="AP116" s="25">
        <f t="shared" si="502"/>
        <v>260477211</v>
      </c>
      <c r="AQ116" s="25">
        <f t="shared" si="502"/>
        <v>258603310</v>
      </c>
      <c r="AR116" s="25">
        <f t="shared" si="502"/>
        <v>216437403</v>
      </c>
      <c r="AS116" s="25">
        <f t="shared" si="502"/>
        <v>194904595</v>
      </c>
      <c r="AT116" s="25">
        <f t="shared" si="502"/>
        <v>171519449</v>
      </c>
    </row>
    <row r="117" spans="1:46" x14ac:dyDescent="0.2">
      <c r="A117" s="35" t="s">
        <v>50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>
        <v>89042814</v>
      </c>
      <c r="AB117" s="24">
        <v>76889929</v>
      </c>
      <c r="AC117" s="24">
        <v>91982778</v>
      </c>
      <c r="AD117" s="24">
        <v>241636398</v>
      </c>
      <c r="AE117" s="24">
        <v>401091774</v>
      </c>
      <c r="AF117" s="24">
        <v>693569574</v>
      </c>
      <c r="AG117" s="24">
        <v>905662364</v>
      </c>
      <c r="AH117" s="24">
        <v>928088579</v>
      </c>
      <c r="AI117" s="24">
        <v>873746585</v>
      </c>
      <c r="AJ117" s="24">
        <v>799670730</v>
      </c>
      <c r="AK117" s="24">
        <v>727521990</v>
      </c>
      <c r="AL117" s="24">
        <v>616121201</v>
      </c>
      <c r="AM117" s="24">
        <v>536089711</v>
      </c>
      <c r="AN117" s="24">
        <v>474495529</v>
      </c>
      <c r="AO117" s="24">
        <v>434125400</v>
      </c>
      <c r="AP117" s="24">
        <v>403472392</v>
      </c>
      <c r="AQ117" s="24">
        <v>365906129</v>
      </c>
      <c r="AR117" s="24">
        <v>345905151</v>
      </c>
      <c r="AS117" s="24">
        <v>301513433</v>
      </c>
      <c r="AT117" s="24">
        <v>275988292</v>
      </c>
    </row>
    <row r="118" spans="1:46" x14ac:dyDescent="0.2">
      <c r="A118" s="35" t="s">
        <v>114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>
        <v>83220708</v>
      </c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</row>
    <row r="119" spans="1:46" x14ac:dyDescent="0.2">
      <c r="A119" s="35" t="s">
        <v>51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>
        <v>390765221</v>
      </c>
      <c r="AA119" s="24">
        <v>445708749</v>
      </c>
      <c r="AB119" s="24">
        <v>458925924</v>
      </c>
      <c r="AC119" s="24">
        <v>400384042</v>
      </c>
      <c r="AD119" s="24">
        <v>424042961</v>
      </c>
      <c r="AE119" s="24">
        <v>410163670</v>
      </c>
      <c r="AF119" s="24">
        <v>346736168</v>
      </c>
      <c r="AG119" s="24">
        <v>199370674</v>
      </c>
      <c r="AH119" s="24">
        <v>95713196</v>
      </c>
      <c r="AI119" s="24">
        <v>64102094</v>
      </c>
      <c r="AJ119" s="24">
        <v>58785136</v>
      </c>
      <c r="AK119" s="24">
        <v>20469767</v>
      </c>
      <c r="AL119" s="24">
        <v>15902012</v>
      </c>
      <c r="AM119" s="24">
        <v>10951072</v>
      </c>
      <c r="AN119" s="24">
        <v>2341438</v>
      </c>
      <c r="AO119" s="24"/>
      <c r="AP119" s="24">
        <v>1117981</v>
      </c>
      <c r="AQ119" s="24"/>
      <c r="AR119" s="24"/>
      <c r="AS119" s="24"/>
      <c r="AT119" s="24"/>
    </row>
    <row r="120" spans="1:46" x14ac:dyDescent="0.2">
      <c r="A120" s="35" t="s">
        <v>52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>
        <v>129279598</v>
      </c>
      <c r="AA120" s="24">
        <v>183681212</v>
      </c>
      <c r="AB120" s="24">
        <v>199806216</v>
      </c>
      <c r="AC120" s="24">
        <v>172917247</v>
      </c>
      <c r="AD120" s="24">
        <v>133127737</v>
      </c>
      <c r="AE120" s="24">
        <v>89784878</v>
      </c>
      <c r="AF120" s="24">
        <v>69066673</v>
      </c>
      <c r="AG120" s="24">
        <v>45783970</v>
      </c>
      <c r="AH120" s="24">
        <v>30035567</v>
      </c>
      <c r="AI120" s="24">
        <v>17788334</v>
      </c>
      <c r="AJ120" s="24">
        <v>11216057</v>
      </c>
      <c r="AK120" s="24">
        <v>7819191</v>
      </c>
      <c r="AL120" s="24">
        <v>6613239</v>
      </c>
      <c r="AM120" s="24">
        <v>5140766</v>
      </c>
      <c r="AN120" s="24">
        <v>3500504</v>
      </c>
      <c r="AO120" s="24">
        <v>1907913</v>
      </c>
      <c r="AP120" s="24"/>
      <c r="AQ120" s="24">
        <v>592903</v>
      </c>
      <c r="AR120" s="24">
        <v>557993</v>
      </c>
      <c r="AS120" s="24">
        <v>433578</v>
      </c>
      <c r="AT120" s="24">
        <v>302218</v>
      </c>
    </row>
    <row r="121" spans="1:46" x14ac:dyDescent="0.2">
      <c r="A121" s="35" t="s">
        <v>71</v>
      </c>
      <c r="B121" s="24">
        <v>50703606</v>
      </c>
      <c r="C121" s="24">
        <v>22720000</v>
      </c>
      <c r="D121" s="24">
        <f>7798000+19599000</f>
        <v>27397000</v>
      </c>
      <c r="E121" s="24">
        <f>12263000+25159000</f>
        <v>37422000</v>
      </c>
      <c r="F121" s="24">
        <v>30009321</v>
      </c>
      <c r="G121" s="24">
        <v>28516123</v>
      </c>
      <c r="H121" s="24">
        <v>84941108</v>
      </c>
      <c r="I121" s="24">
        <v>144168831</v>
      </c>
      <c r="J121" s="24">
        <v>219593000</v>
      </c>
      <c r="K121" s="24">
        <v>229780000</v>
      </c>
      <c r="L121" s="24">
        <v>221016000</v>
      </c>
      <c r="M121" s="24">
        <v>217717000</v>
      </c>
      <c r="N121" s="24">
        <v>117429368</v>
      </c>
      <c r="O121" s="24">
        <v>131578823</v>
      </c>
      <c r="P121" s="24">
        <v>112982040</v>
      </c>
      <c r="Q121" s="24">
        <v>153147012</v>
      </c>
      <c r="R121" s="24">
        <v>145721719</v>
      </c>
      <c r="S121" s="24">
        <v>202896428</v>
      </c>
      <c r="T121" s="24">
        <v>309214013</v>
      </c>
      <c r="U121" s="24">
        <v>487874671</v>
      </c>
      <c r="V121" s="24">
        <v>604687414</v>
      </c>
      <c r="W121" s="24">
        <v>620918077</v>
      </c>
      <c r="X121" s="24">
        <v>633884600</v>
      </c>
      <c r="Y121" s="24">
        <v>698515584</v>
      </c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</row>
    <row r="122" spans="1:46" x14ac:dyDescent="0.2">
      <c r="A122" s="35" t="s">
        <v>82</v>
      </c>
      <c r="B122" s="24"/>
      <c r="C122" s="24"/>
      <c r="D122" s="24"/>
      <c r="E122" s="24"/>
      <c r="F122" s="24"/>
      <c r="G122" s="24">
        <v>5804176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</row>
    <row r="123" spans="1:46" s="26" customFormat="1" x14ac:dyDescent="0.2">
      <c r="A123" s="36" t="s">
        <v>73</v>
      </c>
      <c r="B123" s="25">
        <f t="shared" ref="B123" si="503">SUM(B117:B122)</f>
        <v>50703606</v>
      </c>
      <c r="C123" s="25">
        <f t="shared" ref="C123:V123" si="504">SUM(C117:C122)</f>
        <v>22720000</v>
      </c>
      <c r="D123" s="25">
        <f t="shared" si="504"/>
        <v>27397000</v>
      </c>
      <c r="E123" s="25">
        <f t="shared" si="504"/>
        <v>37422000</v>
      </c>
      <c r="F123" s="25">
        <f t="shared" si="504"/>
        <v>30009321</v>
      </c>
      <c r="G123" s="25">
        <f t="shared" si="504"/>
        <v>34320299</v>
      </c>
      <c r="H123" s="25">
        <f t="shared" si="504"/>
        <v>84941108</v>
      </c>
      <c r="I123" s="25">
        <f t="shared" si="504"/>
        <v>144168831</v>
      </c>
      <c r="J123" s="25">
        <f t="shared" si="504"/>
        <v>219593000</v>
      </c>
      <c r="K123" s="25">
        <f t="shared" si="504"/>
        <v>229780000</v>
      </c>
      <c r="L123" s="25">
        <f t="shared" si="504"/>
        <v>221016000</v>
      </c>
      <c r="M123" s="25">
        <f t="shared" si="504"/>
        <v>217717000</v>
      </c>
      <c r="N123" s="25">
        <f t="shared" si="504"/>
        <v>117429368</v>
      </c>
      <c r="O123" s="25">
        <f t="shared" si="504"/>
        <v>131578823</v>
      </c>
      <c r="P123" s="25">
        <f t="shared" si="504"/>
        <v>112982040</v>
      </c>
      <c r="Q123" s="25">
        <f t="shared" si="504"/>
        <v>153147012</v>
      </c>
      <c r="R123" s="25">
        <f t="shared" si="504"/>
        <v>145721719</v>
      </c>
      <c r="S123" s="25">
        <f t="shared" si="504"/>
        <v>202896428</v>
      </c>
      <c r="T123" s="25">
        <f t="shared" si="504"/>
        <v>309214013</v>
      </c>
      <c r="U123" s="25">
        <f t="shared" si="504"/>
        <v>487874671</v>
      </c>
      <c r="V123" s="25">
        <f t="shared" si="504"/>
        <v>604687414</v>
      </c>
      <c r="W123" s="25">
        <f t="shared" ref="W123:AT123" si="505">SUM(W117:W122)</f>
        <v>620918077</v>
      </c>
      <c r="X123" s="25">
        <v>633884600</v>
      </c>
      <c r="Y123" s="25">
        <f t="shared" si="505"/>
        <v>698515584</v>
      </c>
      <c r="Z123" s="25">
        <f t="shared" si="505"/>
        <v>603265527</v>
      </c>
      <c r="AA123" s="25">
        <f t="shared" si="505"/>
        <v>718432775</v>
      </c>
      <c r="AB123" s="25">
        <f t="shared" si="505"/>
        <v>735622069</v>
      </c>
      <c r="AC123" s="25">
        <f t="shared" si="505"/>
        <v>665284067</v>
      </c>
      <c r="AD123" s="25">
        <f t="shared" si="505"/>
        <v>798807096</v>
      </c>
      <c r="AE123" s="25">
        <f t="shared" si="505"/>
        <v>901040322</v>
      </c>
      <c r="AF123" s="25">
        <f t="shared" si="505"/>
        <v>1109372415</v>
      </c>
      <c r="AG123" s="25">
        <f t="shared" si="505"/>
        <v>1150817008</v>
      </c>
      <c r="AH123" s="25">
        <f t="shared" si="505"/>
        <v>1053837342</v>
      </c>
      <c r="AI123" s="25">
        <f t="shared" si="505"/>
        <v>955637013</v>
      </c>
      <c r="AJ123" s="25">
        <f t="shared" si="505"/>
        <v>869671923</v>
      </c>
      <c r="AK123" s="25">
        <f t="shared" si="505"/>
        <v>755810948</v>
      </c>
      <c r="AL123" s="25">
        <f t="shared" si="505"/>
        <v>638636452</v>
      </c>
      <c r="AM123" s="25">
        <f t="shared" si="505"/>
        <v>552181549</v>
      </c>
      <c r="AN123" s="25">
        <f t="shared" si="505"/>
        <v>480337471</v>
      </c>
      <c r="AO123" s="25">
        <f t="shared" si="505"/>
        <v>436033313</v>
      </c>
      <c r="AP123" s="25">
        <f t="shared" si="505"/>
        <v>404590373</v>
      </c>
      <c r="AQ123" s="25">
        <f t="shared" si="505"/>
        <v>366499032</v>
      </c>
      <c r="AR123" s="25">
        <f t="shared" si="505"/>
        <v>346463144</v>
      </c>
      <c r="AS123" s="25">
        <f t="shared" si="505"/>
        <v>301947011</v>
      </c>
      <c r="AT123" s="25">
        <f t="shared" si="505"/>
        <v>276290510</v>
      </c>
    </row>
    <row r="124" spans="1:46" ht="24" x14ac:dyDescent="0.2">
      <c r="A124" s="35" t="s">
        <v>87</v>
      </c>
      <c r="B124" s="24"/>
      <c r="C124" s="24"/>
      <c r="D124" s="24">
        <v>840000</v>
      </c>
      <c r="E124" s="24">
        <v>11941000</v>
      </c>
      <c r="F124" s="24">
        <v>1297204</v>
      </c>
      <c r="G124" s="24">
        <v>2916101</v>
      </c>
      <c r="H124" s="24">
        <v>2627343</v>
      </c>
      <c r="I124" s="24">
        <v>5176185</v>
      </c>
      <c r="J124" s="24">
        <v>9951000</v>
      </c>
      <c r="K124" s="24">
        <v>11428000</v>
      </c>
      <c r="L124" s="24">
        <v>11730000</v>
      </c>
      <c r="M124" s="24">
        <v>50244000</v>
      </c>
      <c r="N124" s="24">
        <v>93896006</v>
      </c>
      <c r="O124" s="24">
        <v>133487612</v>
      </c>
      <c r="P124" s="24">
        <v>247946323</v>
      </c>
      <c r="Q124" s="24">
        <v>249162538</v>
      </c>
      <c r="R124" s="24">
        <v>277362930</v>
      </c>
      <c r="S124" s="24">
        <v>275044827</v>
      </c>
      <c r="T124" s="24">
        <v>229247685</v>
      </c>
      <c r="U124" s="24">
        <v>177011587</v>
      </c>
      <c r="V124" s="24">
        <v>169434264</v>
      </c>
      <c r="W124" s="24">
        <v>141939755</v>
      </c>
      <c r="X124" s="24">
        <v>172150998</v>
      </c>
      <c r="Y124" s="24">
        <v>190769332</v>
      </c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</row>
    <row r="125" spans="1:46" x14ac:dyDescent="0.2">
      <c r="A125" s="35" t="s">
        <v>94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>
        <v>19410000</v>
      </c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>
        <v>17275629</v>
      </c>
      <c r="AA125" s="24">
        <v>8507997</v>
      </c>
      <c r="AB125" s="24">
        <v>5670536</v>
      </c>
      <c r="AC125" s="24">
        <v>3442522</v>
      </c>
      <c r="AD125" s="24">
        <v>1875616</v>
      </c>
      <c r="AE125" s="24">
        <v>997460</v>
      </c>
      <c r="AF125" s="24">
        <v>44128</v>
      </c>
      <c r="AG125" s="24">
        <v>0</v>
      </c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</row>
    <row r="126" spans="1:46" x14ac:dyDescent="0.2">
      <c r="A126" s="35" t="s">
        <v>53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>
        <v>32604936</v>
      </c>
      <c r="AA126" s="24">
        <v>20776436</v>
      </c>
      <c r="AB126" s="24">
        <v>15741281</v>
      </c>
      <c r="AC126" s="24">
        <v>8922654</v>
      </c>
      <c r="AD126" s="24">
        <v>5694548</v>
      </c>
      <c r="AE126" s="24">
        <v>2885855</v>
      </c>
      <c r="AF126" s="24">
        <v>768260</v>
      </c>
      <c r="AG126" s="24">
        <v>215127</v>
      </c>
      <c r="AH126" s="24">
        <v>0</v>
      </c>
      <c r="AI126" s="24">
        <v>141495242</v>
      </c>
      <c r="AJ126" s="24">
        <v>144692492</v>
      </c>
      <c r="AK126" s="24">
        <v>199560056</v>
      </c>
      <c r="AL126" s="24">
        <v>306384884</v>
      </c>
      <c r="AM126" s="24">
        <v>379883169</v>
      </c>
      <c r="AN126" s="24">
        <v>422642619</v>
      </c>
      <c r="AO126" s="24">
        <v>427181030</v>
      </c>
      <c r="AP126" s="24">
        <v>413315143</v>
      </c>
      <c r="AQ126" s="24">
        <v>372414874</v>
      </c>
      <c r="AR126" s="24">
        <v>329766812</v>
      </c>
      <c r="AS126" s="24">
        <v>278499562</v>
      </c>
      <c r="AT126" s="24">
        <v>226052982</v>
      </c>
    </row>
    <row r="127" spans="1:46" x14ac:dyDescent="0.2">
      <c r="A127" s="35" t="s">
        <v>54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>
        <v>14125407</v>
      </c>
      <c r="AA127" s="24">
        <v>16659648</v>
      </c>
      <c r="AB127" s="24">
        <v>22909638</v>
      </c>
      <c r="AC127" s="24">
        <v>21334883</v>
      </c>
      <c r="AD127" s="24">
        <v>16079222</v>
      </c>
      <c r="AE127" s="24">
        <v>10921220</v>
      </c>
      <c r="AF127" s="24">
        <v>14478904</v>
      </c>
      <c r="AG127" s="24">
        <v>20147512</v>
      </c>
      <c r="AH127" s="24">
        <v>15018075</v>
      </c>
      <c r="AI127" s="24">
        <v>6442912</v>
      </c>
      <c r="AJ127" s="24">
        <v>2633810</v>
      </c>
      <c r="AK127" s="24">
        <v>1282028</v>
      </c>
      <c r="AL127" s="24">
        <v>388004</v>
      </c>
      <c r="AM127" s="24">
        <v>80000</v>
      </c>
      <c r="AN127" s="24">
        <v>32000</v>
      </c>
      <c r="AO127" s="24"/>
      <c r="AP127" s="24"/>
      <c r="AQ127" s="24"/>
      <c r="AR127" s="24"/>
      <c r="AS127" s="24"/>
      <c r="AT127" s="24"/>
    </row>
    <row r="128" spans="1:46" x14ac:dyDescent="0.2">
      <c r="A128" s="35" t="s">
        <v>55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>
        <v>1252272</v>
      </c>
      <c r="AA128" s="24">
        <v>1377175</v>
      </c>
      <c r="AB128" s="24">
        <v>6340043</v>
      </c>
      <c r="AC128" s="24">
        <v>4959724</v>
      </c>
      <c r="AD128" s="24">
        <v>3489631</v>
      </c>
      <c r="AE128" s="24">
        <v>4811450</v>
      </c>
      <c r="AF128" s="24">
        <v>7446021</v>
      </c>
      <c r="AG128" s="24">
        <v>6626736</v>
      </c>
      <c r="AH128" s="24">
        <v>3933506</v>
      </c>
      <c r="AI128" s="24">
        <v>1366174</v>
      </c>
      <c r="AJ128" s="24">
        <v>353001</v>
      </c>
      <c r="AK128" s="24">
        <v>0</v>
      </c>
      <c r="AL128" s="24"/>
      <c r="AM128" s="24"/>
      <c r="AN128" s="24"/>
      <c r="AO128" s="24"/>
      <c r="AP128" s="24"/>
      <c r="AQ128" s="24"/>
      <c r="AR128" s="24"/>
      <c r="AS128" s="24"/>
      <c r="AT128" s="24"/>
    </row>
    <row r="129" spans="1:46" x14ac:dyDescent="0.2">
      <c r="A129" s="35" t="s">
        <v>56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>
        <v>36251890</v>
      </c>
      <c r="AA129" s="24">
        <v>50485686</v>
      </c>
      <c r="AB129" s="24">
        <v>68203724</v>
      </c>
      <c r="AC129" s="24">
        <v>84335564</v>
      </c>
      <c r="AD129" s="24">
        <v>108789057</v>
      </c>
      <c r="AE129" s="24">
        <v>129784352</v>
      </c>
      <c r="AF129" s="24">
        <v>134472820</v>
      </c>
      <c r="AG129" s="24">
        <v>157008690</v>
      </c>
      <c r="AH129" s="24">
        <v>176901412</v>
      </c>
      <c r="AI129" s="24">
        <v>115902277</v>
      </c>
      <c r="AJ129" s="24">
        <v>74776294</v>
      </c>
      <c r="AK129" s="24">
        <v>43336868</v>
      </c>
      <c r="AL129" s="24">
        <v>24434267</v>
      </c>
      <c r="AM129" s="24">
        <v>16622540</v>
      </c>
      <c r="AN129" s="24">
        <v>10531329</v>
      </c>
      <c r="AO129" s="24">
        <v>7809248</v>
      </c>
      <c r="AP129" s="24">
        <v>6056832</v>
      </c>
      <c r="AQ129" s="24">
        <v>4636715</v>
      </c>
      <c r="AR129" s="24">
        <v>3092355</v>
      </c>
      <c r="AS129" s="24">
        <v>2480889</v>
      </c>
      <c r="AT129" s="24">
        <v>1986756</v>
      </c>
    </row>
    <row r="130" spans="1:46" x14ac:dyDescent="0.2">
      <c r="A130" s="35" t="s">
        <v>57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>
        <v>85954854</v>
      </c>
      <c r="AA130" s="24">
        <v>102543614</v>
      </c>
      <c r="AB130" s="24">
        <v>112650930</v>
      </c>
      <c r="AC130" s="24">
        <v>90391770</v>
      </c>
      <c r="AD130" s="24">
        <v>75404014</v>
      </c>
      <c r="AE130" s="24">
        <v>62256919</v>
      </c>
      <c r="AF130" s="24">
        <v>55396064</v>
      </c>
      <c r="AG130" s="24">
        <v>60508886</v>
      </c>
      <c r="AH130" s="24">
        <v>53406270</v>
      </c>
      <c r="AI130" s="24">
        <v>31297831</v>
      </c>
      <c r="AJ130" s="24">
        <v>17801300</v>
      </c>
      <c r="AK130" s="24">
        <v>11374196</v>
      </c>
      <c r="AL130" s="24">
        <v>6513137</v>
      </c>
      <c r="AM130" s="24">
        <v>3896389</v>
      </c>
      <c r="AN130" s="24">
        <v>2693369</v>
      </c>
      <c r="AO130" s="24">
        <v>827539</v>
      </c>
      <c r="AP130" s="24">
        <v>327025</v>
      </c>
      <c r="AQ130" s="24"/>
      <c r="AR130" s="24"/>
      <c r="AS130" s="24"/>
      <c r="AT130" s="24"/>
    </row>
    <row r="131" spans="1:46" x14ac:dyDescent="0.2">
      <c r="A131" s="35" t="s">
        <v>69</v>
      </c>
      <c r="B131" s="24">
        <v>440000</v>
      </c>
      <c r="C131" s="24">
        <v>20012000</v>
      </c>
      <c r="D131" s="24">
        <v>35978000</v>
      </c>
      <c r="E131" s="24">
        <v>90769000</v>
      </c>
      <c r="F131" s="24">
        <v>21615682</v>
      </c>
      <c r="G131" s="24">
        <v>17489021</v>
      </c>
      <c r="H131" s="24">
        <v>12881092</v>
      </c>
      <c r="I131" s="24">
        <v>2439885</v>
      </c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</row>
    <row r="132" spans="1:46" s="26" customFormat="1" x14ac:dyDescent="0.2">
      <c r="A132" s="36" t="s">
        <v>73</v>
      </c>
      <c r="B132" s="25">
        <f t="shared" ref="B132" si="506">SUM(B124:B131)</f>
        <v>440000</v>
      </c>
      <c r="C132" s="25">
        <f t="shared" ref="C132:V132" si="507">SUM(C124:C131)</f>
        <v>20012000</v>
      </c>
      <c r="D132" s="25">
        <f t="shared" si="507"/>
        <v>36818000</v>
      </c>
      <c r="E132" s="25">
        <f t="shared" si="507"/>
        <v>102710000</v>
      </c>
      <c r="F132" s="25">
        <f t="shared" si="507"/>
        <v>22912886</v>
      </c>
      <c r="G132" s="25">
        <f t="shared" si="507"/>
        <v>20405122</v>
      </c>
      <c r="H132" s="25">
        <f t="shared" si="507"/>
        <v>15508435</v>
      </c>
      <c r="I132" s="25">
        <f t="shared" si="507"/>
        <v>7616070</v>
      </c>
      <c r="J132" s="25">
        <f t="shared" si="507"/>
        <v>9951000</v>
      </c>
      <c r="K132" s="25">
        <f t="shared" si="507"/>
        <v>11428000</v>
      </c>
      <c r="L132" s="25">
        <f t="shared" si="507"/>
        <v>31140000</v>
      </c>
      <c r="M132" s="25">
        <f t="shared" si="507"/>
        <v>50244000</v>
      </c>
      <c r="N132" s="25">
        <f t="shared" si="507"/>
        <v>93896006</v>
      </c>
      <c r="O132" s="25">
        <f t="shared" si="507"/>
        <v>133487612</v>
      </c>
      <c r="P132" s="25">
        <f t="shared" si="507"/>
        <v>247946323</v>
      </c>
      <c r="Q132" s="25">
        <f t="shared" si="507"/>
        <v>249162538</v>
      </c>
      <c r="R132" s="25">
        <f t="shared" si="507"/>
        <v>277362930</v>
      </c>
      <c r="S132" s="25">
        <f t="shared" si="507"/>
        <v>275044827</v>
      </c>
      <c r="T132" s="25">
        <f t="shared" si="507"/>
        <v>229247685</v>
      </c>
      <c r="U132" s="25">
        <f t="shared" si="507"/>
        <v>177011587</v>
      </c>
      <c r="V132" s="25">
        <f t="shared" si="507"/>
        <v>169434264</v>
      </c>
      <c r="W132" s="25">
        <f t="shared" ref="W132:AT132" si="508">SUM(W124:W131)</f>
        <v>141939755</v>
      </c>
      <c r="X132" s="25">
        <v>172150998</v>
      </c>
      <c r="Y132" s="25">
        <f t="shared" si="508"/>
        <v>190769332</v>
      </c>
      <c r="Z132" s="25">
        <f t="shared" si="508"/>
        <v>187464988</v>
      </c>
      <c r="AA132" s="25">
        <f t="shared" si="508"/>
        <v>200350556</v>
      </c>
      <c r="AB132" s="25">
        <f t="shared" si="508"/>
        <v>231516152</v>
      </c>
      <c r="AC132" s="25">
        <f t="shared" si="508"/>
        <v>213387117</v>
      </c>
      <c r="AD132" s="25">
        <f t="shared" si="508"/>
        <v>211332088</v>
      </c>
      <c r="AE132" s="25">
        <f t="shared" si="508"/>
        <v>211657256</v>
      </c>
      <c r="AF132" s="25">
        <f t="shared" si="508"/>
        <v>212606197</v>
      </c>
      <c r="AG132" s="25">
        <f t="shared" si="508"/>
        <v>244506951</v>
      </c>
      <c r="AH132" s="25">
        <f t="shared" si="508"/>
        <v>249259263</v>
      </c>
      <c r="AI132" s="25">
        <f t="shared" si="508"/>
        <v>296504436</v>
      </c>
      <c r="AJ132" s="25">
        <f t="shared" si="508"/>
        <v>240256897</v>
      </c>
      <c r="AK132" s="25">
        <f t="shared" si="508"/>
        <v>255553148</v>
      </c>
      <c r="AL132" s="25">
        <f t="shared" si="508"/>
        <v>337720292</v>
      </c>
      <c r="AM132" s="25">
        <f t="shared" si="508"/>
        <v>400482098</v>
      </c>
      <c r="AN132" s="25">
        <f t="shared" si="508"/>
        <v>435899317</v>
      </c>
      <c r="AO132" s="25">
        <f t="shared" si="508"/>
        <v>435817817</v>
      </c>
      <c r="AP132" s="25">
        <f t="shared" si="508"/>
        <v>419699000</v>
      </c>
      <c r="AQ132" s="25">
        <f t="shared" si="508"/>
        <v>377051589</v>
      </c>
      <c r="AR132" s="25">
        <f t="shared" si="508"/>
        <v>332859167</v>
      </c>
      <c r="AS132" s="25">
        <f t="shared" si="508"/>
        <v>280980451</v>
      </c>
      <c r="AT132" s="25">
        <f t="shared" si="508"/>
        <v>228039738</v>
      </c>
    </row>
    <row r="133" spans="1:46" x14ac:dyDescent="0.2">
      <c r="A133" s="35" t="s">
        <v>58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>
        <v>303557352</v>
      </c>
      <c r="P133" s="24">
        <v>302058644</v>
      </c>
      <c r="Q133" s="24">
        <v>314294760</v>
      </c>
      <c r="R133" s="24">
        <v>308879334</v>
      </c>
      <c r="S133" s="24">
        <v>320410687</v>
      </c>
      <c r="T133" s="24">
        <v>286203745</v>
      </c>
      <c r="U133" s="24">
        <v>277521516</v>
      </c>
      <c r="V133" s="24">
        <v>241218030</v>
      </c>
      <c r="W133" s="24">
        <v>206023541</v>
      </c>
      <c r="X133" s="24">
        <v>203768360</v>
      </c>
      <c r="Y133" s="24">
        <v>169508888</v>
      </c>
      <c r="Z133" s="24">
        <v>123706663</v>
      </c>
      <c r="AA133" s="24">
        <v>91525324</v>
      </c>
      <c r="AB133" s="24">
        <v>85963942</v>
      </c>
      <c r="AC133" s="24">
        <v>73418163</v>
      </c>
      <c r="AD133" s="24">
        <v>59318890</v>
      </c>
      <c r="AE133" s="24">
        <v>48603388</v>
      </c>
      <c r="AF133" s="24">
        <v>39001414</v>
      </c>
      <c r="AG133" s="24">
        <v>39635333</v>
      </c>
      <c r="AH133" s="24">
        <v>40106708</v>
      </c>
      <c r="AI133" s="24">
        <v>39339185</v>
      </c>
      <c r="AJ133" s="24">
        <v>30591812</v>
      </c>
      <c r="AK133" s="24">
        <v>23998416</v>
      </c>
      <c r="AL133" s="24">
        <v>23109835</v>
      </c>
      <c r="AM133" s="24">
        <v>17962610</v>
      </c>
      <c r="AN133" s="24">
        <v>13701132</v>
      </c>
      <c r="AO133" s="24">
        <v>10730323</v>
      </c>
      <c r="AP133" s="24">
        <v>8017519</v>
      </c>
      <c r="AQ133" s="24">
        <v>5170391</v>
      </c>
      <c r="AR133" s="24">
        <v>4284454</v>
      </c>
      <c r="AS133" s="24">
        <v>3643057</v>
      </c>
      <c r="AT133" s="24">
        <v>1245377</v>
      </c>
    </row>
    <row r="134" spans="1:46" ht="24" x14ac:dyDescent="0.2">
      <c r="A134" s="35" t="s">
        <v>59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>
        <v>14461871</v>
      </c>
      <c r="AA134" s="24">
        <v>8031834</v>
      </c>
      <c r="AB134" s="24">
        <v>5540929</v>
      </c>
      <c r="AC134" s="24">
        <v>4740070</v>
      </c>
      <c r="AD134" s="24">
        <v>5845731</v>
      </c>
      <c r="AE134" s="24">
        <v>6119587</v>
      </c>
      <c r="AF134" s="24">
        <v>4554539</v>
      </c>
      <c r="AG134" s="24">
        <v>3963364</v>
      </c>
      <c r="AH134" s="24">
        <v>3667697</v>
      </c>
      <c r="AI134" s="24">
        <v>1786592</v>
      </c>
      <c r="AJ134" s="24">
        <v>739977</v>
      </c>
      <c r="AK134" s="24">
        <v>213067</v>
      </c>
      <c r="AL134" s="24"/>
      <c r="AM134" s="24"/>
      <c r="AN134" s="24"/>
      <c r="AO134" s="24"/>
      <c r="AP134" s="24"/>
      <c r="AQ134" s="24"/>
      <c r="AR134" s="24"/>
      <c r="AS134" s="24"/>
      <c r="AT134" s="24"/>
    </row>
    <row r="135" spans="1:46" ht="24" x14ac:dyDescent="0.2">
      <c r="A135" s="35" t="s">
        <v>88</v>
      </c>
      <c r="B135" s="24"/>
      <c r="C135" s="24"/>
      <c r="D135" s="24"/>
      <c r="E135" s="24"/>
      <c r="F135" s="24"/>
      <c r="G135" s="24"/>
      <c r="H135" s="24"/>
      <c r="I135" s="24"/>
      <c r="J135" s="24">
        <v>28023000</v>
      </c>
      <c r="K135" s="24">
        <v>26219000</v>
      </c>
      <c r="L135" s="24">
        <v>35865000</v>
      </c>
      <c r="M135" s="24">
        <v>36317000</v>
      </c>
      <c r="N135" s="24">
        <v>32295420</v>
      </c>
      <c r="O135" s="24">
        <v>39220900</v>
      </c>
      <c r="P135" s="24">
        <v>34423020</v>
      </c>
      <c r="Q135" s="24">
        <v>33154810</v>
      </c>
      <c r="R135" s="24">
        <v>31574590</v>
      </c>
      <c r="S135" s="24">
        <v>34609110</v>
      </c>
      <c r="T135" s="24">
        <v>33887580</v>
      </c>
      <c r="U135" s="24">
        <v>39384510</v>
      </c>
      <c r="V135" s="24">
        <v>39372940</v>
      </c>
      <c r="W135" s="24">
        <v>23355510</v>
      </c>
      <c r="X135" s="24">
        <v>189520</v>
      </c>
      <c r="Y135" s="24">
        <v>194240</v>
      </c>
      <c r="Z135" s="24">
        <v>33200</v>
      </c>
      <c r="AA135" s="24">
        <v>28520</v>
      </c>
      <c r="AB135" s="24">
        <v>0</v>
      </c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</row>
    <row r="136" spans="1:46" x14ac:dyDescent="0.2">
      <c r="A136" s="35" t="s">
        <v>79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>
        <v>13430499</v>
      </c>
      <c r="P136" s="24">
        <v>11397076</v>
      </c>
      <c r="Q136" s="24">
        <v>8750846</v>
      </c>
      <c r="R136" s="24">
        <v>6076313</v>
      </c>
      <c r="S136" s="24">
        <v>3980171</v>
      </c>
      <c r="T136" s="24">
        <v>2092229</v>
      </c>
      <c r="U136" s="24">
        <v>1028416</v>
      </c>
      <c r="V136" s="24">
        <v>2699358</v>
      </c>
      <c r="W136" s="24">
        <v>808572</v>
      </c>
      <c r="X136" s="24">
        <v>618198</v>
      </c>
      <c r="Y136" s="24">
        <v>418115</v>
      </c>
      <c r="Z136" s="24">
        <v>207828</v>
      </c>
      <c r="AA136" s="24">
        <v>0</v>
      </c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</row>
    <row r="137" spans="1:46" s="26" customFormat="1" x14ac:dyDescent="0.2">
      <c r="A137" s="36" t="s">
        <v>73</v>
      </c>
      <c r="B137" s="25">
        <f t="shared" ref="B137:I137" si="509">SUM(B133:B134)</f>
        <v>0</v>
      </c>
      <c r="C137" s="25">
        <f t="shared" si="509"/>
        <v>0</v>
      </c>
      <c r="D137" s="25">
        <f t="shared" si="509"/>
        <v>0</v>
      </c>
      <c r="E137" s="25">
        <f t="shared" si="509"/>
        <v>0</v>
      </c>
      <c r="F137" s="25">
        <f t="shared" si="509"/>
        <v>0</v>
      </c>
      <c r="G137" s="25">
        <f t="shared" si="509"/>
        <v>0</v>
      </c>
      <c r="H137" s="25">
        <f t="shared" si="509"/>
        <v>0</v>
      </c>
      <c r="I137" s="25">
        <f t="shared" si="509"/>
        <v>0</v>
      </c>
      <c r="J137" s="25">
        <f t="shared" ref="J137:N137" si="510">SUM(J133:J135)</f>
        <v>28023000</v>
      </c>
      <c r="K137" s="25">
        <f t="shared" si="510"/>
        <v>26219000</v>
      </c>
      <c r="L137" s="25">
        <f t="shared" si="510"/>
        <v>35865000</v>
      </c>
      <c r="M137" s="25">
        <f t="shared" si="510"/>
        <v>36317000</v>
      </c>
      <c r="N137" s="25">
        <f t="shared" si="510"/>
        <v>32295420</v>
      </c>
      <c r="O137" s="25">
        <f t="shared" ref="O137:V137" si="511">SUM(O133:O136)</f>
        <v>356208751</v>
      </c>
      <c r="P137" s="25">
        <f t="shared" si="511"/>
        <v>347878740</v>
      </c>
      <c r="Q137" s="25">
        <f t="shared" si="511"/>
        <v>356200416</v>
      </c>
      <c r="R137" s="25">
        <f t="shared" si="511"/>
        <v>346530237</v>
      </c>
      <c r="S137" s="25">
        <f t="shared" si="511"/>
        <v>358999968</v>
      </c>
      <c r="T137" s="25">
        <f t="shared" si="511"/>
        <v>322183554</v>
      </c>
      <c r="U137" s="25">
        <f t="shared" si="511"/>
        <v>317934442</v>
      </c>
      <c r="V137" s="25">
        <f t="shared" si="511"/>
        <v>283290328</v>
      </c>
      <c r="W137" s="25">
        <f t="shared" ref="W137:AT137" si="512">SUM(W133:W136)</f>
        <v>230187623</v>
      </c>
      <c r="X137" s="25">
        <v>204576078</v>
      </c>
      <c r="Y137" s="25">
        <f t="shared" si="512"/>
        <v>170121243</v>
      </c>
      <c r="Z137" s="25">
        <f t="shared" si="512"/>
        <v>138409562</v>
      </c>
      <c r="AA137" s="25">
        <f t="shared" si="512"/>
        <v>99585678</v>
      </c>
      <c r="AB137" s="25">
        <f t="shared" si="512"/>
        <v>91504871</v>
      </c>
      <c r="AC137" s="25">
        <f t="shared" si="512"/>
        <v>78158233</v>
      </c>
      <c r="AD137" s="25">
        <f t="shared" si="512"/>
        <v>65164621</v>
      </c>
      <c r="AE137" s="25">
        <f t="shared" si="512"/>
        <v>54722975</v>
      </c>
      <c r="AF137" s="25">
        <f t="shared" si="512"/>
        <v>43555953</v>
      </c>
      <c r="AG137" s="25">
        <f t="shared" si="512"/>
        <v>43598697</v>
      </c>
      <c r="AH137" s="25">
        <f t="shared" si="512"/>
        <v>43774405</v>
      </c>
      <c r="AI137" s="25">
        <f t="shared" si="512"/>
        <v>41125777</v>
      </c>
      <c r="AJ137" s="25">
        <f t="shared" si="512"/>
        <v>31331789</v>
      </c>
      <c r="AK137" s="25">
        <f t="shared" si="512"/>
        <v>24211483</v>
      </c>
      <c r="AL137" s="25">
        <f t="shared" si="512"/>
        <v>23109835</v>
      </c>
      <c r="AM137" s="25">
        <f t="shared" si="512"/>
        <v>17962610</v>
      </c>
      <c r="AN137" s="25">
        <f t="shared" si="512"/>
        <v>13701132</v>
      </c>
      <c r="AO137" s="25">
        <f t="shared" si="512"/>
        <v>10730323</v>
      </c>
      <c r="AP137" s="25">
        <f t="shared" si="512"/>
        <v>8017519</v>
      </c>
      <c r="AQ137" s="25">
        <f t="shared" si="512"/>
        <v>5170391</v>
      </c>
      <c r="AR137" s="25">
        <f t="shared" si="512"/>
        <v>4284454</v>
      </c>
      <c r="AS137" s="25">
        <f t="shared" si="512"/>
        <v>3643057</v>
      </c>
      <c r="AT137" s="25">
        <f t="shared" si="512"/>
        <v>1245377</v>
      </c>
    </row>
    <row r="138" spans="1:46" x14ac:dyDescent="0.2">
      <c r="A138" s="35" t="s">
        <v>60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>
        <v>10301102</v>
      </c>
      <c r="AK138" s="24">
        <v>19420685</v>
      </c>
      <c r="AL138" s="24">
        <v>29432871</v>
      </c>
      <c r="AM138" s="24">
        <v>25296052</v>
      </c>
      <c r="AN138" s="24">
        <v>27207041</v>
      </c>
      <c r="AO138" s="24">
        <v>24617828</v>
      </c>
      <c r="AP138" s="24">
        <v>24441441</v>
      </c>
      <c r="AQ138" s="24">
        <v>21600538</v>
      </c>
      <c r="AR138" s="24">
        <v>16162126</v>
      </c>
      <c r="AS138" s="24">
        <v>12619899</v>
      </c>
      <c r="AT138" s="24">
        <v>14578530</v>
      </c>
    </row>
    <row r="139" spans="1:46" s="26" customFormat="1" x14ac:dyDescent="0.2">
      <c r="A139" s="36" t="s">
        <v>73</v>
      </c>
      <c r="B139" s="25">
        <f t="shared" ref="B139" si="513">SUM(B138)</f>
        <v>0</v>
      </c>
      <c r="C139" s="25">
        <f t="shared" ref="C139:V139" si="514">SUM(C138)</f>
        <v>0</v>
      </c>
      <c r="D139" s="25">
        <f t="shared" si="514"/>
        <v>0</v>
      </c>
      <c r="E139" s="25">
        <f t="shared" si="514"/>
        <v>0</v>
      </c>
      <c r="F139" s="25">
        <f t="shared" si="514"/>
        <v>0</v>
      </c>
      <c r="G139" s="25">
        <f t="shared" si="514"/>
        <v>0</v>
      </c>
      <c r="H139" s="25">
        <f t="shared" si="514"/>
        <v>0</v>
      </c>
      <c r="I139" s="25">
        <f t="shared" si="514"/>
        <v>0</v>
      </c>
      <c r="J139" s="25">
        <f t="shared" si="514"/>
        <v>0</v>
      </c>
      <c r="K139" s="25">
        <f t="shared" si="514"/>
        <v>0</v>
      </c>
      <c r="L139" s="25">
        <f t="shared" si="514"/>
        <v>0</v>
      </c>
      <c r="M139" s="25">
        <f t="shared" si="514"/>
        <v>0</v>
      </c>
      <c r="N139" s="25">
        <f t="shared" si="514"/>
        <v>0</v>
      </c>
      <c r="O139" s="25">
        <f t="shared" si="514"/>
        <v>0</v>
      </c>
      <c r="P139" s="25">
        <f t="shared" si="514"/>
        <v>0</v>
      </c>
      <c r="Q139" s="25">
        <f t="shared" si="514"/>
        <v>0</v>
      </c>
      <c r="R139" s="25">
        <f t="shared" si="514"/>
        <v>0</v>
      </c>
      <c r="S139" s="25">
        <f t="shared" si="514"/>
        <v>0</v>
      </c>
      <c r="T139" s="25">
        <f t="shared" si="514"/>
        <v>0</v>
      </c>
      <c r="U139" s="25">
        <f t="shared" si="514"/>
        <v>0</v>
      </c>
      <c r="V139" s="25">
        <f t="shared" si="514"/>
        <v>0</v>
      </c>
      <c r="W139" s="25">
        <f t="shared" ref="W139:AT139" si="515">SUM(W138)</f>
        <v>0</v>
      </c>
      <c r="X139" s="25">
        <v>0</v>
      </c>
      <c r="Y139" s="25">
        <f t="shared" si="515"/>
        <v>0</v>
      </c>
      <c r="Z139" s="25">
        <f t="shared" si="515"/>
        <v>0</v>
      </c>
      <c r="AA139" s="25">
        <f t="shared" si="515"/>
        <v>0</v>
      </c>
      <c r="AB139" s="25">
        <f t="shared" si="515"/>
        <v>0</v>
      </c>
      <c r="AC139" s="25">
        <f t="shared" si="515"/>
        <v>0</v>
      </c>
      <c r="AD139" s="25">
        <f t="shared" si="515"/>
        <v>0</v>
      </c>
      <c r="AE139" s="25">
        <f t="shared" si="515"/>
        <v>0</v>
      </c>
      <c r="AF139" s="25">
        <f t="shared" si="515"/>
        <v>0</v>
      </c>
      <c r="AG139" s="25">
        <f t="shared" si="515"/>
        <v>0</v>
      </c>
      <c r="AH139" s="25">
        <f t="shared" si="515"/>
        <v>0</v>
      </c>
      <c r="AI139" s="25">
        <f t="shared" si="515"/>
        <v>0</v>
      </c>
      <c r="AJ139" s="25">
        <f t="shared" si="515"/>
        <v>10301102</v>
      </c>
      <c r="AK139" s="25">
        <f t="shared" si="515"/>
        <v>19420685</v>
      </c>
      <c r="AL139" s="25">
        <f t="shared" si="515"/>
        <v>29432871</v>
      </c>
      <c r="AM139" s="25">
        <f t="shared" si="515"/>
        <v>25296052</v>
      </c>
      <c r="AN139" s="25">
        <f t="shared" si="515"/>
        <v>27207041</v>
      </c>
      <c r="AO139" s="25">
        <f t="shared" si="515"/>
        <v>24617828</v>
      </c>
      <c r="AP139" s="25">
        <f t="shared" si="515"/>
        <v>24441441</v>
      </c>
      <c r="AQ139" s="25">
        <f t="shared" si="515"/>
        <v>21600538</v>
      </c>
      <c r="AR139" s="25">
        <f t="shared" si="515"/>
        <v>16162126</v>
      </c>
      <c r="AS139" s="25">
        <f t="shared" si="515"/>
        <v>12619899</v>
      </c>
      <c r="AT139" s="25">
        <f t="shared" si="515"/>
        <v>14578530</v>
      </c>
    </row>
    <row r="140" spans="1:46" x14ac:dyDescent="0.2">
      <c r="A140" s="35" t="s">
        <v>70</v>
      </c>
      <c r="B140" s="24">
        <v>3356160</v>
      </c>
      <c r="C140" s="24"/>
      <c r="D140" s="24"/>
      <c r="E140" s="24"/>
      <c r="F140" s="24"/>
      <c r="G140" s="24">
        <v>1261066</v>
      </c>
      <c r="H140" s="24">
        <v>2000000</v>
      </c>
      <c r="I140" s="24">
        <v>3000000</v>
      </c>
      <c r="J140" s="24">
        <v>2835000</v>
      </c>
      <c r="K140" s="24">
        <v>655000</v>
      </c>
      <c r="L140" s="24">
        <v>456000</v>
      </c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</row>
    <row r="141" spans="1:46" s="26" customFormat="1" x14ac:dyDescent="0.2">
      <c r="A141" s="36" t="s">
        <v>73</v>
      </c>
      <c r="B141" s="25">
        <f t="shared" ref="B141:V141" si="516">SUM(B140)</f>
        <v>3356160</v>
      </c>
      <c r="C141" s="25">
        <f t="shared" si="516"/>
        <v>0</v>
      </c>
      <c r="D141" s="25">
        <f t="shared" si="516"/>
        <v>0</v>
      </c>
      <c r="E141" s="25">
        <f t="shared" si="516"/>
        <v>0</v>
      </c>
      <c r="F141" s="25">
        <f t="shared" si="516"/>
        <v>0</v>
      </c>
      <c r="G141" s="25">
        <f t="shared" si="516"/>
        <v>1261066</v>
      </c>
      <c r="H141" s="25">
        <f t="shared" si="516"/>
        <v>2000000</v>
      </c>
      <c r="I141" s="25">
        <f t="shared" si="516"/>
        <v>3000000</v>
      </c>
      <c r="J141" s="25">
        <f t="shared" si="516"/>
        <v>2835000</v>
      </c>
      <c r="K141" s="25">
        <f t="shared" si="516"/>
        <v>655000</v>
      </c>
      <c r="L141" s="25">
        <f t="shared" si="516"/>
        <v>456000</v>
      </c>
      <c r="M141" s="25">
        <f t="shared" si="516"/>
        <v>0</v>
      </c>
      <c r="N141" s="25">
        <f t="shared" si="516"/>
        <v>0</v>
      </c>
      <c r="O141" s="25">
        <f t="shared" si="516"/>
        <v>0</v>
      </c>
      <c r="P141" s="25">
        <f t="shared" si="516"/>
        <v>0</v>
      </c>
      <c r="Q141" s="25">
        <f t="shared" si="516"/>
        <v>0</v>
      </c>
      <c r="R141" s="25">
        <f t="shared" si="516"/>
        <v>0</v>
      </c>
      <c r="S141" s="25">
        <f t="shared" si="516"/>
        <v>0</v>
      </c>
      <c r="T141" s="25">
        <f t="shared" si="516"/>
        <v>0</v>
      </c>
      <c r="U141" s="25">
        <f t="shared" si="516"/>
        <v>0</v>
      </c>
      <c r="V141" s="25">
        <f t="shared" si="516"/>
        <v>0</v>
      </c>
      <c r="W141" s="25">
        <f t="shared" ref="W141:AT141" si="517">SUM(W140)</f>
        <v>0</v>
      </c>
      <c r="X141" s="25">
        <v>0</v>
      </c>
      <c r="Y141" s="25">
        <f t="shared" si="517"/>
        <v>0</v>
      </c>
      <c r="Z141" s="25">
        <f t="shared" si="517"/>
        <v>0</v>
      </c>
      <c r="AA141" s="25">
        <f t="shared" si="517"/>
        <v>0</v>
      </c>
      <c r="AB141" s="25">
        <f t="shared" si="517"/>
        <v>0</v>
      </c>
      <c r="AC141" s="25">
        <f t="shared" si="517"/>
        <v>0</v>
      </c>
      <c r="AD141" s="25">
        <f t="shared" si="517"/>
        <v>0</v>
      </c>
      <c r="AE141" s="25">
        <f t="shared" si="517"/>
        <v>0</v>
      </c>
      <c r="AF141" s="25">
        <f t="shared" si="517"/>
        <v>0</v>
      </c>
      <c r="AG141" s="25">
        <f t="shared" si="517"/>
        <v>0</v>
      </c>
      <c r="AH141" s="25">
        <f t="shared" si="517"/>
        <v>0</v>
      </c>
      <c r="AI141" s="25">
        <f t="shared" si="517"/>
        <v>0</v>
      </c>
      <c r="AJ141" s="25">
        <f t="shared" si="517"/>
        <v>0</v>
      </c>
      <c r="AK141" s="25">
        <f t="shared" si="517"/>
        <v>0</v>
      </c>
      <c r="AL141" s="25">
        <f t="shared" si="517"/>
        <v>0</v>
      </c>
      <c r="AM141" s="25">
        <f t="shared" si="517"/>
        <v>0</v>
      </c>
      <c r="AN141" s="25">
        <f t="shared" si="517"/>
        <v>0</v>
      </c>
      <c r="AO141" s="25">
        <f t="shared" si="517"/>
        <v>0</v>
      </c>
      <c r="AP141" s="25">
        <f t="shared" si="517"/>
        <v>0</v>
      </c>
      <c r="AQ141" s="25">
        <f t="shared" si="517"/>
        <v>0</v>
      </c>
      <c r="AR141" s="25">
        <f t="shared" si="517"/>
        <v>0</v>
      </c>
      <c r="AS141" s="25">
        <f t="shared" si="517"/>
        <v>0</v>
      </c>
      <c r="AT141" s="25">
        <f t="shared" si="517"/>
        <v>0</v>
      </c>
    </row>
    <row r="142" spans="1:46" x14ac:dyDescent="0.2">
      <c r="A142" s="35" t="s">
        <v>75</v>
      </c>
      <c r="B142" s="24"/>
      <c r="C142" s="24">
        <v>20000000</v>
      </c>
      <c r="D142" s="24"/>
      <c r="E142" s="24"/>
      <c r="F142" s="24"/>
      <c r="G142" s="24"/>
      <c r="H142" s="24"/>
      <c r="I142" s="24"/>
      <c r="J142" s="24"/>
      <c r="K142" s="24">
        <v>18523000</v>
      </c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</row>
    <row r="143" spans="1:46" s="26" customFormat="1" x14ac:dyDescent="0.2">
      <c r="A143" s="36" t="s">
        <v>73</v>
      </c>
      <c r="B143" s="25">
        <f t="shared" ref="B143:V143" si="518">SUM(B142)</f>
        <v>0</v>
      </c>
      <c r="C143" s="25">
        <f t="shared" si="518"/>
        <v>20000000</v>
      </c>
      <c r="D143" s="25">
        <f t="shared" si="518"/>
        <v>0</v>
      </c>
      <c r="E143" s="25">
        <f t="shared" si="518"/>
        <v>0</v>
      </c>
      <c r="F143" s="25">
        <f t="shared" si="518"/>
        <v>0</v>
      </c>
      <c r="G143" s="25">
        <f t="shared" si="518"/>
        <v>0</v>
      </c>
      <c r="H143" s="25">
        <f t="shared" si="518"/>
        <v>0</v>
      </c>
      <c r="I143" s="25">
        <f t="shared" si="518"/>
        <v>0</v>
      </c>
      <c r="J143" s="25">
        <f t="shared" si="518"/>
        <v>0</v>
      </c>
      <c r="K143" s="25">
        <f t="shared" si="518"/>
        <v>18523000</v>
      </c>
      <c r="L143" s="25">
        <f t="shared" si="518"/>
        <v>0</v>
      </c>
      <c r="M143" s="25">
        <f t="shared" si="518"/>
        <v>0</v>
      </c>
      <c r="N143" s="25">
        <f t="shared" si="518"/>
        <v>0</v>
      </c>
      <c r="O143" s="25">
        <f t="shared" si="518"/>
        <v>0</v>
      </c>
      <c r="P143" s="25">
        <f t="shared" si="518"/>
        <v>0</v>
      </c>
      <c r="Q143" s="25">
        <f t="shared" si="518"/>
        <v>0</v>
      </c>
      <c r="R143" s="25">
        <f t="shared" si="518"/>
        <v>0</v>
      </c>
      <c r="S143" s="25">
        <f t="shared" si="518"/>
        <v>0</v>
      </c>
      <c r="T143" s="25">
        <f t="shared" si="518"/>
        <v>0</v>
      </c>
      <c r="U143" s="25">
        <f t="shared" si="518"/>
        <v>0</v>
      </c>
      <c r="V143" s="25">
        <f t="shared" si="518"/>
        <v>0</v>
      </c>
      <c r="W143" s="25">
        <f t="shared" ref="W143:AT143" si="519">SUM(W142)</f>
        <v>0</v>
      </c>
      <c r="X143" s="25">
        <v>0</v>
      </c>
      <c r="Y143" s="25">
        <f t="shared" si="519"/>
        <v>0</v>
      </c>
      <c r="Z143" s="25">
        <f t="shared" si="519"/>
        <v>0</v>
      </c>
      <c r="AA143" s="25">
        <f t="shared" si="519"/>
        <v>0</v>
      </c>
      <c r="AB143" s="25">
        <f t="shared" si="519"/>
        <v>0</v>
      </c>
      <c r="AC143" s="25">
        <f t="shared" si="519"/>
        <v>0</v>
      </c>
      <c r="AD143" s="25">
        <f t="shared" si="519"/>
        <v>0</v>
      </c>
      <c r="AE143" s="25">
        <f t="shared" si="519"/>
        <v>0</v>
      </c>
      <c r="AF143" s="25">
        <f t="shared" si="519"/>
        <v>0</v>
      </c>
      <c r="AG143" s="25">
        <f t="shared" si="519"/>
        <v>0</v>
      </c>
      <c r="AH143" s="25">
        <f t="shared" si="519"/>
        <v>0</v>
      </c>
      <c r="AI143" s="25">
        <f t="shared" si="519"/>
        <v>0</v>
      </c>
      <c r="AJ143" s="25">
        <f t="shared" si="519"/>
        <v>0</v>
      </c>
      <c r="AK143" s="25">
        <f t="shared" si="519"/>
        <v>0</v>
      </c>
      <c r="AL143" s="25">
        <f t="shared" si="519"/>
        <v>0</v>
      </c>
      <c r="AM143" s="25">
        <f t="shared" si="519"/>
        <v>0</v>
      </c>
      <c r="AN143" s="25">
        <f t="shared" si="519"/>
        <v>0</v>
      </c>
      <c r="AO143" s="25">
        <f t="shared" si="519"/>
        <v>0</v>
      </c>
      <c r="AP143" s="25">
        <f t="shared" si="519"/>
        <v>0</v>
      </c>
      <c r="AQ143" s="25">
        <f t="shared" si="519"/>
        <v>0</v>
      </c>
      <c r="AR143" s="25">
        <f t="shared" si="519"/>
        <v>0</v>
      </c>
      <c r="AS143" s="25">
        <f t="shared" si="519"/>
        <v>0</v>
      </c>
      <c r="AT143" s="25">
        <f t="shared" si="519"/>
        <v>0</v>
      </c>
    </row>
    <row r="144" spans="1:46" x14ac:dyDescent="0.2">
      <c r="A144" s="35" t="s">
        <v>85</v>
      </c>
      <c r="B144" s="24"/>
      <c r="C144" s="24"/>
      <c r="D144" s="24"/>
      <c r="E144" s="24"/>
      <c r="F144" s="24"/>
      <c r="G144" s="24"/>
      <c r="H144" s="24"/>
      <c r="I144" s="24">
        <v>1772300</v>
      </c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</row>
    <row r="145" spans="1:46" s="26" customFormat="1" x14ac:dyDescent="0.2">
      <c r="A145" s="36" t="s">
        <v>73</v>
      </c>
      <c r="B145" s="25">
        <f t="shared" ref="B145:V145" si="520">SUM(B144)</f>
        <v>0</v>
      </c>
      <c r="C145" s="25">
        <f t="shared" si="520"/>
        <v>0</v>
      </c>
      <c r="D145" s="25">
        <f t="shared" si="520"/>
        <v>0</v>
      </c>
      <c r="E145" s="25">
        <f t="shared" si="520"/>
        <v>0</v>
      </c>
      <c r="F145" s="25">
        <f t="shared" si="520"/>
        <v>0</v>
      </c>
      <c r="G145" s="25">
        <f t="shared" si="520"/>
        <v>0</v>
      </c>
      <c r="H145" s="25">
        <f t="shared" si="520"/>
        <v>0</v>
      </c>
      <c r="I145" s="25">
        <f t="shared" si="520"/>
        <v>1772300</v>
      </c>
      <c r="J145" s="25">
        <f t="shared" si="520"/>
        <v>0</v>
      </c>
      <c r="K145" s="25">
        <f t="shared" si="520"/>
        <v>0</v>
      </c>
      <c r="L145" s="25">
        <f t="shared" si="520"/>
        <v>0</v>
      </c>
      <c r="M145" s="25">
        <f t="shared" si="520"/>
        <v>0</v>
      </c>
      <c r="N145" s="25">
        <f t="shared" si="520"/>
        <v>0</v>
      </c>
      <c r="O145" s="25">
        <f t="shared" si="520"/>
        <v>0</v>
      </c>
      <c r="P145" s="25">
        <f t="shared" si="520"/>
        <v>0</v>
      </c>
      <c r="Q145" s="25">
        <f t="shared" si="520"/>
        <v>0</v>
      </c>
      <c r="R145" s="25">
        <f t="shared" si="520"/>
        <v>0</v>
      </c>
      <c r="S145" s="25">
        <f t="shared" si="520"/>
        <v>0</v>
      </c>
      <c r="T145" s="25">
        <f t="shared" si="520"/>
        <v>0</v>
      </c>
      <c r="U145" s="25">
        <f t="shared" si="520"/>
        <v>0</v>
      </c>
      <c r="V145" s="25">
        <f t="shared" si="520"/>
        <v>0</v>
      </c>
      <c r="W145" s="25">
        <f t="shared" ref="W145:AT145" si="521">SUM(W144)</f>
        <v>0</v>
      </c>
      <c r="X145" s="25">
        <v>0</v>
      </c>
      <c r="Y145" s="25">
        <f t="shared" si="521"/>
        <v>0</v>
      </c>
      <c r="Z145" s="25">
        <f t="shared" si="521"/>
        <v>0</v>
      </c>
      <c r="AA145" s="25">
        <f t="shared" si="521"/>
        <v>0</v>
      </c>
      <c r="AB145" s="25">
        <f t="shared" si="521"/>
        <v>0</v>
      </c>
      <c r="AC145" s="25">
        <f t="shared" si="521"/>
        <v>0</v>
      </c>
      <c r="AD145" s="25">
        <f t="shared" si="521"/>
        <v>0</v>
      </c>
      <c r="AE145" s="25">
        <f t="shared" si="521"/>
        <v>0</v>
      </c>
      <c r="AF145" s="25">
        <f t="shared" si="521"/>
        <v>0</v>
      </c>
      <c r="AG145" s="25">
        <f t="shared" si="521"/>
        <v>0</v>
      </c>
      <c r="AH145" s="25">
        <f t="shared" si="521"/>
        <v>0</v>
      </c>
      <c r="AI145" s="25">
        <f t="shared" si="521"/>
        <v>0</v>
      </c>
      <c r="AJ145" s="25">
        <f t="shared" si="521"/>
        <v>0</v>
      </c>
      <c r="AK145" s="25">
        <f t="shared" si="521"/>
        <v>0</v>
      </c>
      <c r="AL145" s="25">
        <f t="shared" si="521"/>
        <v>0</v>
      </c>
      <c r="AM145" s="25">
        <f t="shared" si="521"/>
        <v>0</v>
      </c>
      <c r="AN145" s="25">
        <f t="shared" si="521"/>
        <v>0</v>
      </c>
      <c r="AO145" s="25">
        <f t="shared" si="521"/>
        <v>0</v>
      </c>
      <c r="AP145" s="25">
        <f t="shared" si="521"/>
        <v>0</v>
      </c>
      <c r="AQ145" s="25">
        <f t="shared" si="521"/>
        <v>0</v>
      </c>
      <c r="AR145" s="25">
        <f t="shared" si="521"/>
        <v>0</v>
      </c>
      <c r="AS145" s="25">
        <f t="shared" si="521"/>
        <v>0</v>
      </c>
      <c r="AT145" s="25">
        <f t="shared" si="521"/>
        <v>0</v>
      </c>
    </row>
    <row r="146" spans="1:46" x14ac:dyDescent="0.2">
      <c r="A146" s="35" t="s">
        <v>89</v>
      </c>
      <c r="B146" s="24"/>
      <c r="C146" s="24"/>
      <c r="D146" s="24"/>
      <c r="E146" s="24"/>
      <c r="F146" s="24"/>
      <c r="G146" s="24"/>
      <c r="H146" s="24"/>
      <c r="I146" s="24"/>
      <c r="J146" s="24">
        <v>25364000</v>
      </c>
      <c r="K146" s="24"/>
      <c r="L146" s="24">
        <v>17632000</v>
      </c>
      <c r="M146" s="24">
        <v>24725000</v>
      </c>
      <c r="N146" s="24">
        <v>29735946</v>
      </c>
      <c r="O146" s="24">
        <v>42838977</v>
      </c>
      <c r="P146" s="24">
        <v>48622378</v>
      </c>
      <c r="Q146" s="24">
        <v>49873564</v>
      </c>
      <c r="R146" s="24">
        <v>54353540</v>
      </c>
      <c r="S146" s="24">
        <v>64465843</v>
      </c>
      <c r="T146" s="24">
        <v>44356881</v>
      </c>
      <c r="U146" s="24">
        <v>47396280</v>
      </c>
      <c r="V146" s="24">
        <v>88933318</v>
      </c>
      <c r="W146" s="24">
        <v>77954505</v>
      </c>
      <c r="X146" s="24">
        <v>26768037</v>
      </c>
      <c r="Y146" s="24">
        <v>7716040</v>
      </c>
      <c r="Z146" s="24">
        <v>5093395</v>
      </c>
      <c r="AA146" s="24">
        <v>3107422</v>
      </c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</row>
    <row r="147" spans="1:46" s="26" customFormat="1" x14ac:dyDescent="0.2">
      <c r="A147" s="36" t="s">
        <v>73</v>
      </c>
      <c r="B147" s="25">
        <f t="shared" ref="B147:V147" si="522">SUM(B146)</f>
        <v>0</v>
      </c>
      <c r="C147" s="25">
        <f t="shared" si="522"/>
        <v>0</v>
      </c>
      <c r="D147" s="25">
        <f t="shared" si="522"/>
        <v>0</v>
      </c>
      <c r="E147" s="25">
        <f t="shared" si="522"/>
        <v>0</v>
      </c>
      <c r="F147" s="25">
        <f t="shared" si="522"/>
        <v>0</v>
      </c>
      <c r="G147" s="25">
        <f t="shared" si="522"/>
        <v>0</v>
      </c>
      <c r="H147" s="25">
        <f t="shared" si="522"/>
        <v>0</v>
      </c>
      <c r="I147" s="25">
        <f t="shared" si="522"/>
        <v>0</v>
      </c>
      <c r="J147" s="25">
        <f t="shared" si="522"/>
        <v>25364000</v>
      </c>
      <c r="K147" s="25">
        <f t="shared" si="522"/>
        <v>0</v>
      </c>
      <c r="L147" s="25">
        <f t="shared" si="522"/>
        <v>17632000</v>
      </c>
      <c r="M147" s="25">
        <f t="shared" si="522"/>
        <v>24725000</v>
      </c>
      <c r="N147" s="25">
        <f t="shared" si="522"/>
        <v>29735946</v>
      </c>
      <c r="O147" s="25">
        <f t="shared" si="522"/>
        <v>42838977</v>
      </c>
      <c r="P147" s="25">
        <f t="shared" si="522"/>
        <v>48622378</v>
      </c>
      <c r="Q147" s="25">
        <f t="shared" si="522"/>
        <v>49873564</v>
      </c>
      <c r="R147" s="25">
        <f t="shared" si="522"/>
        <v>54353540</v>
      </c>
      <c r="S147" s="25">
        <f t="shared" si="522"/>
        <v>64465843</v>
      </c>
      <c r="T147" s="25">
        <f t="shared" si="522"/>
        <v>44356881</v>
      </c>
      <c r="U147" s="25">
        <f t="shared" si="522"/>
        <v>47396280</v>
      </c>
      <c r="V147" s="25">
        <f t="shared" si="522"/>
        <v>88933318</v>
      </c>
      <c r="W147" s="25">
        <f t="shared" ref="W147" si="523">SUM(W146)</f>
        <v>77954505</v>
      </c>
      <c r="X147" s="25">
        <v>26768037</v>
      </c>
      <c r="Y147" s="25">
        <f t="shared" ref="Y147:AT147" si="524">SUM(Y146)</f>
        <v>7716040</v>
      </c>
      <c r="Z147" s="25">
        <f t="shared" si="524"/>
        <v>5093395</v>
      </c>
      <c r="AA147" s="25">
        <f t="shared" si="524"/>
        <v>3107422</v>
      </c>
      <c r="AB147" s="25">
        <f t="shared" si="524"/>
        <v>0</v>
      </c>
      <c r="AC147" s="25">
        <f t="shared" si="524"/>
        <v>0</v>
      </c>
      <c r="AD147" s="25">
        <f t="shared" si="524"/>
        <v>0</v>
      </c>
      <c r="AE147" s="25">
        <f t="shared" si="524"/>
        <v>0</v>
      </c>
      <c r="AF147" s="25">
        <f t="shared" si="524"/>
        <v>0</v>
      </c>
      <c r="AG147" s="25">
        <f t="shared" si="524"/>
        <v>0</v>
      </c>
      <c r="AH147" s="25">
        <f t="shared" si="524"/>
        <v>0</v>
      </c>
      <c r="AI147" s="25">
        <f t="shared" si="524"/>
        <v>0</v>
      </c>
      <c r="AJ147" s="25">
        <f t="shared" si="524"/>
        <v>0</v>
      </c>
      <c r="AK147" s="25">
        <f t="shared" si="524"/>
        <v>0</v>
      </c>
      <c r="AL147" s="25">
        <f t="shared" si="524"/>
        <v>0</v>
      </c>
      <c r="AM147" s="25">
        <f t="shared" si="524"/>
        <v>0</v>
      </c>
      <c r="AN147" s="25">
        <f t="shared" si="524"/>
        <v>0</v>
      </c>
      <c r="AO147" s="25">
        <f t="shared" si="524"/>
        <v>0</v>
      </c>
      <c r="AP147" s="25">
        <f t="shared" si="524"/>
        <v>0</v>
      </c>
      <c r="AQ147" s="25">
        <f t="shared" si="524"/>
        <v>0</v>
      </c>
      <c r="AR147" s="25">
        <f t="shared" si="524"/>
        <v>0</v>
      </c>
      <c r="AS147" s="25">
        <f t="shared" si="524"/>
        <v>0</v>
      </c>
      <c r="AT147" s="25">
        <f t="shared" si="524"/>
        <v>0</v>
      </c>
    </row>
    <row r="148" spans="1:46" s="29" customFormat="1" ht="12.5" thickBot="1" x14ac:dyDescent="0.25">
      <c r="A148" s="37" t="s">
        <v>61</v>
      </c>
      <c r="B148" s="40">
        <f t="shared" ref="B148:V148" si="525">SUM(B141,B139,B137,B132,B123,B116,B102,B143,B145,B147)</f>
        <v>56467806</v>
      </c>
      <c r="C148" s="40">
        <f t="shared" si="525"/>
        <v>69532000</v>
      </c>
      <c r="D148" s="40">
        <f t="shared" si="525"/>
        <v>83410000</v>
      </c>
      <c r="E148" s="40">
        <f t="shared" si="525"/>
        <v>204089000</v>
      </c>
      <c r="F148" s="40">
        <f t="shared" si="525"/>
        <v>72944271</v>
      </c>
      <c r="G148" s="40">
        <f t="shared" si="525"/>
        <v>77292930</v>
      </c>
      <c r="H148" s="40">
        <f t="shared" si="525"/>
        <v>137603039</v>
      </c>
      <c r="I148" s="40">
        <f t="shared" si="525"/>
        <v>210117430</v>
      </c>
      <c r="J148" s="40">
        <f t="shared" si="525"/>
        <v>381564000</v>
      </c>
      <c r="K148" s="40">
        <f t="shared" si="525"/>
        <v>462114000</v>
      </c>
      <c r="L148" s="40">
        <f t="shared" si="525"/>
        <v>605318000</v>
      </c>
      <c r="M148" s="40">
        <f t="shared" si="525"/>
        <v>610811000</v>
      </c>
      <c r="N148" s="40">
        <f t="shared" si="525"/>
        <v>548117784</v>
      </c>
      <c r="O148" s="40">
        <f t="shared" si="525"/>
        <v>977261801</v>
      </c>
      <c r="P148" s="40">
        <f t="shared" si="525"/>
        <v>1148075293</v>
      </c>
      <c r="Q148" s="40">
        <f t="shared" si="525"/>
        <v>1336722065</v>
      </c>
      <c r="R148" s="40">
        <f t="shared" si="525"/>
        <v>1574665736</v>
      </c>
      <c r="S148" s="40">
        <f t="shared" si="525"/>
        <v>1909467695</v>
      </c>
      <c r="T148" s="40">
        <f t="shared" si="525"/>
        <v>2233860907</v>
      </c>
      <c r="U148" s="40">
        <f t="shared" si="525"/>
        <v>2564628088</v>
      </c>
      <c r="V148" s="40">
        <f t="shared" si="525"/>
        <v>2932720782</v>
      </c>
      <c r="W148" s="40">
        <f t="shared" ref="W148:AT148" si="526">SUM(W141,W139,W137,W132,W123,W116,W102,W143,W145,W147)</f>
        <v>3060330824</v>
      </c>
      <c r="X148" s="40">
        <v>3581582216</v>
      </c>
      <c r="Y148" s="40">
        <f t="shared" si="526"/>
        <v>4003922329</v>
      </c>
      <c r="Z148" s="40">
        <f t="shared" si="526"/>
        <v>4102242138</v>
      </c>
      <c r="AA148" s="40">
        <f t="shared" si="526"/>
        <v>4585975330</v>
      </c>
      <c r="AB148" s="40">
        <f t="shared" si="526"/>
        <v>5415534204</v>
      </c>
      <c r="AC148" s="40">
        <f t="shared" si="526"/>
        <v>6058496101</v>
      </c>
      <c r="AD148" s="40">
        <f t="shared" si="526"/>
        <v>6925468079</v>
      </c>
      <c r="AE148" s="40">
        <f t="shared" si="526"/>
        <v>7566205310</v>
      </c>
      <c r="AF148" s="40">
        <f t="shared" si="526"/>
        <v>7970472842</v>
      </c>
      <c r="AG148" s="40">
        <f t="shared" si="526"/>
        <v>7839237083</v>
      </c>
      <c r="AH148" s="40">
        <f t="shared" si="526"/>
        <v>7465974646</v>
      </c>
      <c r="AI148" s="40">
        <f t="shared" si="526"/>
        <v>7115508024</v>
      </c>
      <c r="AJ148" s="40">
        <f t="shared" si="526"/>
        <v>6167948401</v>
      </c>
      <c r="AK148" s="40">
        <f t="shared" si="526"/>
        <v>5403507605</v>
      </c>
      <c r="AL148" s="40">
        <f t="shared" si="526"/>
        <v>5020025627</v>
      </c>
      <c r="AM148" s="40">
        <f t="shared" si="526"/>
        <v>4638350826</v>
      </c>
      <c r="AN148" s="40">
        <f t="shared" si="526"/>
        <v>4166781245</v>
      </c>
      <c r="AO148" s="40">
        <f t="shared" si="526"/>
        <v>3601453834</v>
      </c>
      <c r="AP148" s="40">
        <f t="shared" si="526"/>
        <v>3252545967</v>
      </c>
      <c r="AQ148" s="40">
        <f t="shared" si="526"/>
        <v>2917962703</v>
      </c>
      <c r="AR148" s="40">
        <f t="shared" si="526"/>
        <v>2552259789</v>
      </c>
      <c r="AS148" s="40">
        <f t="shared" si="526"/>
        <v>2190567090</v>
      </c>
      <c r="AT148" s="40">
        <f t="shared" si="526"/>
        <v>1985979341</v>
      </c>
    </row>
    <row r="150" spans="1:46" x14ac:dyDescent="0.2">
      <c r="B150" s="6" t="s">
        <v>138</v>
      </c>
      <c r="C150" s="6" t="s">
        <v>139</v>
      </c>
      <c r="D150" s="6" t="s">
        <v>141</v>
      </c>
      <c r="E150" s="6" t="s">
        <v>142</v>
      </c>
      <c r="F150" s="6" t="s">
        <v>143</v>
      </c>
      <c r="G150" s="6" t="s">
        <v>144</v>
      </c>
      <c r="H150" s="6" t="s">
        <v>145</v>
      </c>
      <c r="I150" s="6" t="s">
        <v>146</v>
      </c>
      <c r="J150" s="6" t="s">
        <v>147</v>
      </c>
      <c r="K150" s="6" t="s">
        <v>148</v>
      </c>
      <c r="L150" s="6" t="s">
        <v>149</v>
      </c>
      <c r="M150" s="6" t="s">
        <v>150</v>
      </c>
      <c r="N150" s="6" t="s">
        <v>151</v>
      </c>
      <c r="O150" s="6" t="s">
        <v>152</v>
      </c>
      <c r="P150" s="6" t="s">
        <v>153</v>
      </c>
      <c r="Q150" s="6" t="s">
        <v>154</v>
      </c>
      <c r="R150" s="6" t="s">
        <v>155</v>
      </c>
      <c r="S150" s="6" t="s">
        <v>156</v>
      </c>
      <c r="T150" s="6" t="s">
        <v>157</v>
      </c>
      <c r="U150" s="6" t="s">
        <v>158</v>
      </c>
      <c r="V150" s="6" t="s">
        <v>159</v>
      </c>
      <c r="W150" s="6" t="s">
        <v>160</v>
      </c>
      <c r="X150" s="6" t="s">
        <v>161</v>
      </c>
      <c r="Y150" s="6" t="s">
        <v>162</v>
      </c>
      <c r="Z150" s="6" t="s">
        <v>163</v>
      </c>
      <c r="AA150" s="6" t="s">
        <v>164</v>
      </c>
      <c r="AB150" s="6" t="s">
        <v>165</v>
      </c>
      <c r="AC150" s="6" t="s">
        <v>166</v>
      </c>
      <c r="AD150" s="6" t="s">
        <v>167</v>
      </c>
      <c r="AE150" s="6" t="s">
        <v>168</v>
      </c>
      <c r="AF150" s="6" t="s">
        <v>169</v>
      </c>
      <c r="AG150" s="6" t="s">
        <v>170</v>
      </c>
      <c r="AH150" s="6" t="s">
        <v>171</v>
      </c>
      <c r="AI150" s="6" t="s">
        <v>172</v>
      </c>
      <c r="AJ150" s="6" t="s">
        <v>173</v>
      </c>
      <c r="AK150" s="6" t="s">
        <v>174</v>
      </c>
      <c r="AL150" s="6" t="s">
        <v>175</v>
      </c>
      <c r="AM150" s="6" t="s">
        <v>176</v>
      </c>
      <c r="AN150" s="6" t="s">
        <v>177</v>
      </c>
      <c r="AO150" s="6" t="s">
        <v>178</v>
      </c>
      <c r="AP150" s="6" t="s">
        <v>179</v>
      </c>
      <c r="AQ150" s="6" t="s">
        <v>180</v>
      </c>
      <c r="AR150" s="6" t="s">
        <v>181</v>
      </c>
      <c r="AS150" s="6" t="s">
        <v>182</v>
      </c>
      <c r="AT150" s="6" t="s">
        <v>183</v>
      </c>
    </row>
    <row r="151" spans="1:46" x14ac:dyDescent="0.2">
      <c r="A151" s="61" t="s">
        <v>235</v>
      </c>
      <c r="B151" s="24">
        <v>1968040</v>
      </c>
      <c r="C151" s="24">
        <v>6800000</v>
      </c>
      <c r="D151" s="24">
        <v>4656000</v>
      </c>
      <c r="E151" s="24">
        <v>5620000</v>
      </c>
      <c r="F151" s="24">
        <v>3297500</v>
      </c>
      <c r="G151" s="24">
        <v>2434500</v>
      </c>
      <c r="H151" s="24">
        <v>16210621</v>
      </c>
      <c r="I151" s="24">
        <v>26828259</v>
      </c>
      <c r="J151" s="24">
        <v>55658000</v>
      </c>
      <c r="K151" s="24">
        <v>78982000</v>
      </c>
      <c r="L151" s="24">
        <v>92191000</v>
      </c>
      <c r="M151" s="24">
        <v>92464000</v>
      </c>
      <c r="N151" s="24">
        <v>85807719</v>
      </c>
      <c r="O151" s="24">
        <v>77933094</v>
      </c>
      <c r="P151" s="24">
        <v>68491051</v>
      </c>
      <c r="Q151" s="24">
        <v>130543802</v>
      </c>
      <c r="R151" s="24">
        <v>280416519</v>
      </c>
      <c r="S151" s="24">
        <v>552400804</v>
      </c>
      <c r="T151" s="24">
        <v>957280781</v>
      </c>
      <c r="U151" s="24">
        <v>1275642242</v>
      </c>
      <c r="V151" s="24">
        <v>1591330949</v>
      </c>
      <c r="W151" s="24">
        <v>1829540269</v>
      </c>
      <c r="X151" s="24">
        <v>2834741826</v>
      </c>
      <c r="Y151" s="24">
        <v>2834741826</v>
      </c>
      <c r="Z151" s="24">
        <v>3078261382</v>
      </c>
      <c r="AA151" s="24">
        <v>3488783089</v>
      </c>
      <c r="AB151" s="24">
        <v>4285224863</v>
      </c>
      <c r="AC151" s="24">
        <v>5032871647</v>
      </c>
      <c r="AD151" s="24">
        <v>5787107392</v>
      </c>
      <c r="AE151" s="24">
        <v>6347850076</v>
      </c>
      <c r="AF151" s="24">
        <v>6545645930</v>
      </c>
      <c r="AG151" s="24">
        <v>6332369119</v>
      </c>
      <c r="AH151" s="24">
        <v>6039263731</v>
      </c>
      <c r="AI151" s="24">
        <v>5652109225</v>
      </c>
      <c r="AJ151" s="24">
        <v>4762909545</v>
      </c>
      <c r="AK151" s="24">
        <v>4073054019</v>
      </c>
      <c r="AL151" s="24">
        <v>3727754631</v>
      </c>
      <c r="AM151" s="24">
        <v>3360927813</v>
      </c>
      <c r="AN151" s="24">
        <v>2922319722</v>
      </c>
      <c r="AO151" s="24">
        <v>2432099158</v>
      </c>
      <c r="AP151" s="24">
        <v>2135320423</v>
      </c>
      <c r="AQ151" s="24">
        <v>1889037843</v>
      </c>
      <c r="AR151" s="24">
        <v>1636053495</v>
      </c>
      <c r="AS151" s="24">
        <v>1396472077</v>
      </c>
      <c r="AT151" s="24">
        <v>1294305737</v>
      </c>
    </row>
    <row r="152" spans="1:46" x14ac:dyDescent="0.2">
      <c r="A152" s="61" t="s">
        <v>237</v>
      </c>
      <c r="B152" s="24">
        <v>0</v>
      </c>
      <c r="C152" s="24">
        <v>0</v>
      </c>
      <c r="D152" s="24">
        <v>14539000</v>
      </c>
      <c r="E152" s="24">
        <v>58337000</v>
      </c>
      <c r="F152" s="24">
        <v>16724564</v>
      </c>
      <c r="G152" s="24">
        <v>18871943</v>
      </c>
      <c r="H152" s="24">
        <v>18942875</v>
      </c>
      <c r="I152" s="24">
        <v>26731970</v>
      </c>
      <c r="J152" s="24">
        <v>40140000</v>
      </c>
      <c r="K152" s="24">
        <v>96527000</v>
      </c>
      <c r="L152" s="24">
        <v>207018000</v>
      </c>
      <c r="M152" s="24">
        <v>189344000</v>
      </c>
      <c r="N152" s="24">
        <v>188953325</v>
      </c>
      <c r="O152" s="24">
        <v>235214544</v>
      </c>
      <c r="P152" s="24">
        <v>322154761</v>
      </c>
      <c r="Q152" s="24">
        <v>397794733</v>
      </c>
      <c r="R152" s="24">
        <v>470280791</v>
      </c>
      <c r="S152" s="24">
        <v>455659825</v>
      </c>
      <c r="T152" s="24">
        <v>371577993</v>
      </c>
      <c r="U152" s="24">
        <v>258768866</v>
      </c>
      <c r="V152" s="24">
        <v>195044509</v>
      </c>
      <c r="W152" s="24">
        <v>99829416</v>
      </c>
      <c r="X152" s="24">
        <v>102058304</v>
      </c>
      <c r="Y152" s="24">
        <v>102058304</v>
      </c>
      <c r="Z152" s="24">
        <v>89747284</v>
      </c>
      <c r="AA152" s="24">
        <v>75715810</v>
      </c>
      <c r="AB152" s="24">
        <v>71666249</v>
      </c>
      <c r="AC152" s="24">
        <v>68795037</v>
      </c>
      <c r="AD152" s="24">
        <v>63056882</v>
      </c>
      <c r="AE152" s="24">
        <v>50934681</v>
      </c>
      <c r="AF152" s="24">
        <v>59292347</v>
      </c>
      <c r="AG152" s="24">
        <v>67945308</v>
      </c>
      <c r="AH152" s="24">
        <v>79839905</v>
      </c>
      <c r="AI152" s="24">
        <v>170131573</v>
      </c>
      <c r="AJ152" s="24">
        <v>253477145</v>
      </c>
      <c r="AK152" s="24">
        <v>275457322</v>
      </c>
      <c r="AL152" s="24">
        <v>263371546</v>
      </c>
      <c r="AM152" s="24">
        <v>281500704</v>
      </c>
      <c r="AN152" s="24">
        <v>287316562</v>
      </c>
      <c r="AO152" s="24">
        <v>262155395</v>
      </c>
      <c r="AP152" s="24">
        <v>260477211</v>
      </c>
      <c r="AQ152" s="24">
        <v>258603310</v>
      </c>
      <c r="AR152" s="24">
        <v>216437403</v>
      </c>
      <c r="AS152" s="24">
        <v>194904595</v>
      </c>
      <c r="AT152" s="24">
        <v>171519449</v>
      </c>
    </row>
    <row r="153" spans="1:46" x14ac:dyDescent="0.2">
      <c r="A153" s="61" t="s">
        <v>236</v>
      </c>
      <c r="B153" s="24">
        <v>50703606</v>
      </c>
      <c r="C153" s="24">
        <v>22720000</v>
      </c>
      <c r="D153" s="24">
        <v>27397000</v>
      </c>
      <c r="E153" s="24">
        <v>37422000</v>
      </c>
      <c r="F153" s="24">
        <v>30009321</v>
      </c>
      <c r="G153" s="24">
        <v>34320299</v>
      </c>
      <c r="H153" s="24">
        <v>84941108</v>
      </c>
      <c r="I153" s="24">
        <v>144168831</v>
      </c>
      <c r="J153" s="24">
        <v>219593000</v>
      </c>
      <c r="K153" s="24">
        <v>229780000</v>
      </c>
      <c r="L153" s="24">
        <v>221016000</v>
      </c>
      <c r="M153" s="24">
        <v>217717000</v>
      </c>
      <c r="N153" s="24">
        <v>117429368</v>
      </c>
      <c r="O153" s="24">
        <v>131578823</v>
      </c>
      <c r="P153" s="24">
        <v>112982040</v>
      </c>
      <c r="Q153" s="24">
        <v>153147012</v>
      </c>
      <c r="R153" s="24">
        <v>145721719</v>
      </c>
      <c r="S153" s="24">
        <v>202896428</v>
      </c>
      <c r="T153" s="24">
        <v>309214013</v>
      </c>
      <c r="U153" s="24">
        <v>487874671</v>
      </c>
      <c r="V153" s="24">
        <v>604687414</v>
      </c>
      <c r="W153" s="24">
        <v>481641038</v>
      </c>
      <c r="X153" s="24">
        <v>698515584</v>
      </c>
      <c r="Y153" s="24">
        <v>698515584</v>
      </c>
      <c r="Z153" s="24">
        <v>603265527</v>
      </c>
      <c r="AA153" s="24">
        <v>718432775</v>
      </c>
      <c r="AB153" s="24">
        <v>735622069</v>
      </c>
      <c r="AC153" s="24">
        <v>665284067</v>
      </c>
      <c r="AD153" s="24">
        <v>798807096</v>
      </c>
      <c r="AE153" s="24">
        <v>901040322</v>
      </c>
      <c r="AF153" s="24">
        <v>1109372415</v>
      </c>
      <c r="AG153" s="24">
        <v>1150817008</v>
      </c>
      <c r="AH153" s="24">
        <v>1053837342</v>
      </c>
      <c r="AI153" s="24">
        <v>955637013</v>
      </c>
      <c r="AJ153" s="24">
        <v>869671923</v>
      </c>
      <c r="AK153" s="24">
        <v>755810948</v>
      </c>
      <c r="AL153" s="24">
        <v>638636452</v>
      </c>
      <c r="AM153" s="24">
        <v>552181549</v>
      </c>
      <c r="AN153" s="24">
        <v>480337471</v>
      </c>
      <c r="AO153" s="24">
        <v>436033313</v>
      </c>
      <c r="AP153" s="24">
        <v>404590373</v>
      </c>
      <c r="AQ153" s="24">
        <v>366499032</v>
      </c>
      <c r="AR153" s="24">
        <v>346463144</v>
      </c>
      <c r="AS153" s="24">
        <v>301947011</v>
      </c>
      <c r="AT153" s="24">
        <v>276290510</v>
      </c>
    </row>
    <row r="154" spans="1:46" x14ac:dyDescent="0.2">
      <c r="A154" s="61" t="s">
        <v>238</v>
      </c>
      <c r="B154" s="24">
        <v>440000</v>
      </c>
      <c r="C154" s="24">
        <v>20012000</v>
      </c>
      <c r="D154" s="24">
        <v>36818000</v>
      </c>
      <c r="E154" s="24">
        <v>102710000</v>
      </c>
      <c r="F154" s="24">
        <v>22912886</v>
      </c>
      <c r="G154" s="24">
        <v>20405122</v>
      </c>
      <c r="H154" s="24">
        <v>15508435</v>
      </c>
      <c r="I154" s="24">
        <v>7616070</v>
      </c>
      <c r="J154" s="24">
        <v>9951000</v>
      </c>
      <c r="K154" s="24">
        <v>11428000</v>
      </c>
      <c r="L154" s="24">
        <v>31140000</v>
      </c>
      <c r="M154" s="24">
        <v>50244000</v>
      </c>
      <c r="N154" s="24">
        <v>93896006</v>
      </c>
      <c r="O154" s="24">
        <v>133487612</v>
      </c>
      <c r="P154" s="24">
        <v>247946323</v>
      </c>
      <c r="Q154" s="24">
        <v>249162538</v>
      </c>
      <c r="R154" s="24">
        <v>277362930</v>
      </c>
      <c r="S154" s="24">
        <v>275044827</v>
      </c>
      <c r="T154" s="24">
        <v>229247685</v>
      </c>
      <c r="U154" s="24">
        <v>177011587</v>
      </c>
      <c r="V154" s="24">
        <v>169434264</v>
      </c>
      <c r="W154" s="24">
        <v>80570632</v>
      </c>
      <c r="X154" s="24">
        <v>190769332</v>
      </c>
      <c r="Y154" s="24">
        <v>190769332</v>
      </c>
      <c r="Z154" s="24">
        <v>187464988</v>
      </c>
      <c r="AA154" s="24">
        <v>200350556</v>
      </c>
      <c r="AB154" s="24">
        <v>231516152</v>
      </c>
      <c r="AC154" s="24">
        <v>213387117</v>
      </c>
      <c r="AD154" s="24">
        <v>211332088</v>
      </c>
      <c r="AE154" s="24">
        <v>211657256</v>
      </c>
      <c r="AF154" s="24">
        <v>212606197</v>
      </c>
      <c r="AG154" s="24">
        <v>244506951</v>
      </c>
      <c r="AH154" s="24">
        <v>249259263</v>
      </c>
      <c r="AI154" s="24">
        <v>296504436</v>
      </c>
      <c r="AJ154" s="24">
        <v>240256897</v>
      </c>
      <c r="AK154" s="24">
        <v>255553148</v>
      </c>
      <c r="AL154" s="24">
        <v>337720292</v>
      </c>
      <c r="AM154" s="24">
        <v>400482098</v>
      </c>
      <c r="AN154" s="24">
        <v>435899317</v>
      </c>
      <c r="AO154" s="24">
        <v>435817817</v>
      </c>
      <c r="AP154" s="24">
        <v>419699000</v>
      </c>
      <c r="AQ154" s="24">
        <v>377051589</v>
      </c>
      <c r="AR154" s="24">
        <v>332859167</v>
      </c>
      <c r="AS154" s="24">
        <v>280980451</v>
      </c>
      <c r="AT154" s="24">
        <v>228039738</v>
      </c>
    </row>
    <row r="155" spans="1:46" x14ac:dyDescent="0.2">
      <c r="A155" s="61" t="s">
        <v>239</v>
      </c>
      <c r="B155" s="24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28023000</v>
      </c>
      <c r="K155" s="24">
        <v>26219000</v>
      </c>
      <c r="L155" s="24">
        <v>35865000</v>
      </c>
      <c r="M155" s="24">
        <v>36317000</v>
      </c>
      <c r="N155" s="24">
        <v>32295420</v>
      </c>
      <c r="O155" s="24">
        <v>356208751</v>
      </c>
      <c r="P155" s="24">
        <v>347878740</v>
      </c>
      <c r="Q155" s="24">
        <v>356200416</v>
      </c>
      <c r="R155" s="24">
        <v>346530237</v>
      </c>
      <c r="S155" s="24">
        <v>358999968</v>
      </c>
      <c r="T155" s="24">
        <v>322183554</v>
      </c>
      <c r="U155" s="24">
        <v>317934442</v>
      </c>
      <c r="V155" s="24">
        <v>283290328</v>
      </c>
      <c r="W155" s="24">
        <v>97676025</v>
      </c>
      <c r="X155" s="24">
        <v>170121243</v>
      </c>
      <c r="Y155" s="24">
        <v>170121243</v>
      </c>
      <c r="Z155" s="24">
        <v>138409562</v>
      </c>
      <c r="AA155" s="24">
        <v>99585678</v>
      </c>
      <c r="AB155" s="24">
        <v>91504871</v>
      </c>
      <c r="AC155" s="24">
        <v>78158233</v>
      </c>
      <c r="AD155" s="24">
        <v>65164621</v>
      </c>
      <c r="AE155" s="24">
        <v>54722975</v>
      </c>
      <c r="AF155" s="24">
        <v>43555953</v>
      </c>
      <c r="AG155" s="24">
        <v>43598697</v>
      </c>
      <c r="AH155" s="24">
        <v>43774405</v>
      </c>
      <c r="AI155" s="24">
        <v>41125777</v>
      </c>
      <c r="AJ155" s="24">
        <v>31331789</v>
      </c>
      <c r="AK155" s="24">
        <v>24211483</v>
      </c>
      <c r="AL155" s="24">
        <v>23109835</v>
      </c>
      <c r="AM155" s="24">
        <v>17962610</v>
      </c>
      <c r="AN155" s="24">
        <v>13701132</v>
      </c>
      <c r="AO155" s="24">
        <v>10730323</v>
      </c>
      <c r="AP155" s="24">
        <v>8017519</v>
      </c>
      <c r="AQ155" s="24">
        <v>5170391</v>
      </c>
      <c r="AR155" s="24">
        <v>4284454</v>
      </c>
      <c r="AS155" s="24">
        <v>3643057</v>
      </c>
      <c r="AT155" s="24">
        <v>1245377</v>
      </c>
    </row>
    <row r="156" spans="1:46" x14ac:dyDescent="0.2">
      <c r="A156" s="61" t="s">
        <v>60</v>
      </c>
      <c r="B156" s="24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0</v>
      </c>
      <c r="AI156" s="24">
        <v>0</v>
      </c>
      <c r="AJ156" s="24">
        <v>10301102</v>
      </c>
      <c r="AK156" s="24">
        <v>19420685</v>
      </c>
      <c r="AL156" s="24">
        <v>29432871</v>
      </c>
      <c r="AM156" s="24">
        <v>25296052</v>
      </c>
      <c r="AN156" s="24">
        <v>27207041</v>
      </c>
      <c r="AO156" s="24">
        <v>24617828</v>
      </c>
      <c r="AP156" s="24">
        <v>24441441</v>
      </c>
      <c r="AQ156" s="24">
        <v>21600538</v>
      </c>
      <c r="AR156" s="24">
        <v>16162126</v>
      </c>
      <c r="AS156" s="24">
        <v>12619899</v>
      </c>
      <c r="AT156" s="24">
        <v>14578530</v>
      </c>
    </row>
    <row r="157" spans="1:46" x14ac:dyDescent="0.2">
      <c r="A157" s="61" t="s">
        <v>70</v>
      </c>
      <c r="B157" s="24">
        <v>3356160</v>
      </c>
      <c r="C157" s="24">
        <v>0</v>
      </c>
      <c r="D157" s="24">
        <v>0</v>
      </c>
      <c r="E157" s="24">
        <v>0</v>
      </c>
      <c r="F157" s="24">
        <v>0</v>
      </c>
      <c r="G157" s="24">
        <v>1261066</v>
      </c>
      <c r="H157" s="24">
        <v>2000000</v>
      </c>
      <c r="I157" s="24">
        <v>3000000</v>
      </c>
      <c r="J157" s="24">
        <v>2835000</v>
      </c>
      <c r="K157" s="24">
        <v>655000</v>
      </c>
      <c r="L157" s="24">
        <v>456000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4">
        <v>0</v>
      </c>
      <c r="AL157" s="24">
        <v>0</v>
      </c>
      <c r="AM157" s="24">
        <v>0</v>
      </c>
      <c r="AN157" s="24">
        <v>0</v>
      </c>
      <c r="AO157" s="24">
        <v>0</v>
      </c>
      <c r="AP157" s="24">
        <v>0</v>
      </c>
      <c r="AQ157" s="24">
        <v>0</v>
      </c>
      <c r="AR157" s="24">
        <v>0</v>
      </c>
      <c r="AS157" s="24">
        <v>0</v>
      </c>
      <c r="AT157" s="24">
        <v>0</v>
      </c>
    </row>
    <row r="158" spans="1:46" x14ac:dyDescent="0.2">
      <c r="A158" s="61" t="s">
        <v>75</v>
      </c>
      <c r="B158" s="24">
        <v>0</v>
      </c>
      <c r="C158" s="24">
        <v>20000000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18523000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0</v>
      </c>
      <c r="AA158" s="24">
        <v>0</v>
      </c>
      <c r="AB158" s="24">
        <v>0</v>
      </c>
      <c r="AC158" s="24">
        <v>0</v>
      </c>
      <c r="AD158" s="24">
        <v>0</v>
      </c>
      <c r="AE158" s="24">
        <v>0</v>
      </c>
      <c r="AF158" s="24">
        <v>0</v>
      </c>
      <c r="AG158" s="24">
        <v>0</v>
      </c>
      <c r="AH158" s="24">
        <v>0</v>
      </c>
      <c r="AI158" s="24">
        <v>0</v>
      </c>
      <c r="AJ158" s="24">
        <v>0</v>
      </c>
      <c r="AK158" s="24">
        <v>0</v>
      </c>
      <c r="AL158" s="24">
        <v>0</v>
      </c>
      <c r="AM158" s="24">
        <v>0</v>
      </c>
      <c r="AN158" s="24">
        <v>0</v>
      </c>
      <c r="AO158" s="24">
        <v>0</v>
      </c>
      <c r="AP158" s="24">
        <v>0</v>
      </c>
      <c r="AQ158" s="24">
        <v>0</v>
      </c>
      <c r="AR158" s="24">
        <v>0</v>
      </c>
      <c r="AS158" s="24">
        <v>0</v>
      </c>
      <c r="AT158" s="24">
        <v>0</v>
      </c>
    </row>
    <row r="159" spans="1:46" x14ac:dyDescent="0.2">
      <c r="A159" s="61" t="s">
        <v>240</v>
      </c>
      <c r="B159" s="24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1772300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4">
        <v>0</v>
      </c>
      <c r="Z159" s="24">
        <v>0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  <c r="AF159" s="24">
        <v>0</v>
      </c>
      <c r="AG159" s="24">
        <v>0</v>
      </c>
      <c r="AH159" s="24">
        <v>0</v>
      </c>
      <c r="AI159" s="24">
        <v>0</v>
      </c>
      <c r="AJ159" s="24">
        <v>0</v>
      </c>
      <c r="AK159" s="24">
        <v>0</v>
      </c>
      <c r="AL159" s="24">
        <v>0</v>
      </c>
      <c r="AM159" s="24">
        <v>0</v>
      </c>
      <c r="AN159" s="24">
        <v>0</v>
      </c>
      <c r="AO159" s="24">
        <v>0</v>
      </c>
      <c r="AP159" s="24">
        <v>0</v>
      </c>
      <c r="AQ159" s="24">
        <v>0</v>
      </c>
      <c r="AR159" s="24">
        <v>0</v>
      </c>
      <c r="AS159" s="24">
        <v>0</v>
      </c>
      <c r="AT159" s="24">
        <v>0</v>
      </c>
    </row>
    <row r="160" spans="1:46" x14ac:dyDescent="0.2">
      <c r="A160" s="61" t="s">
        <v>89</v>
      </c>
      <c r="B160" s="24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25364000</v>
      </c>
      <c r="K160" s="24">
        <v>0</v>
      </c>
      <c r="L160" s="24">
        <v>17632000</v>
      </c>
      <c r="M160" s="24">
        <v>24725000</v>
      </c>
      <c r="N160" s="24">
        <v>29735946</v>
      </c>
      <c r="O160" s="24">
        <v>42838977</v>
      </c>
      <c r="P160" s="24">
        <v>48622378</v>
      </c>
      <c r="Q160" s="24">
        <v>49873564</v>
      </c>
      <c r="R160" s="24">
        <v>54353540</v>
      </c>
      <c r="S160" s="24">
        <v>64465843</v>
      </c>
      <c r="T160" s="24">
        <v>44356881</v>
      </c>
      <c r="U160" s="24">
        <v>47396280</v>
      </c>
      <c r="V160" s="24">
        <v>88933318</v>
      </c>
      <c r="W160" s="24">
        <v>152656468</v>
      </c>
      <c r="X160" s="24">
        <v>7716040</v>
      </c>
      <c r="Y160" s="24">
        <v>7716040</v>
      </c>
      <c r="Z160" s="24">
        <v>5093395</v>
      </c>
      <c r="AA160" s="24">
        <v>3107422</v>
      </c>
      <c r="AB160" s="24">
        <v>0</v>
      </c>
      <c r="AC160" s="24">
        <v>0</v>
      </c>
      <c r="AD160" s="24">
        <v>0</v>
      </c>
      <c r="AE160" s="24">
        <v>0</v>
      </c>
      <c r="AF160" s="24">
        <v>0</v>
      </c>
      <c r="AG160" s="24">
        <v>0</v>
      </c>
      <c r="AH160" s="24">
        <v>0</v>
      </c>
      <c r="AI160" s="24">
        <v>0</v>
      </c>
      <c r="AJ160" s="24">
        <v>0</v>
      </c>
      <c r="AK160" s="24">
        <v>0</v>
      </c>
      <c r="AL160" s="24">
        <v>0</v>
      </c>
      <c r="AM160" s="24">
        <v>0</v>
      </c>
      <c r="AN160" s="24">
        <v>0</v>
      </c>
      <c r="AO160" s="24">
        <v>0</v>
      </c>
      <c r="AP160" s="24">
        <v>0</v>
      </c>
      <c r="AQ160" s="24">
        <v>0</v>
      </c>
      <c r="AR160" s="24">
        <v>0</v>
      </c>
      <c r="AS160" s="24">
        <v>0</v>
      </c>
      <c r="AT160" s="24">
        <v>0</v>
      </c>
    </row>
    <row r="161" spans="1:78" s="7" customFormat="1" x14ac:dyDescent="0.2">
      <c r="A161" s="61" t="s">
        <v>61</v>
      </c>
      <c r="B161" s="24">
        <v>56467806</v>
      </c>
      <c r="C161" s="24">
        <v>69532000</v>
      </c>
      <c r="D161" s="24">
        <v>83410000</v>
      </c>
      <c r="E161" s="24">
        <v>204089000</v>
      </c>
      <c r="F161" s="24">
        <v>72944271</v>
      </c>
      <c r="G161" s="24">
        <v>77292930</v>
      </c>
      <c r="H161" s="24">
        <v>137603039</v>
      </c>
      <c r="I161" s="24">
        <v>210117430</v>
      </c>
      <c r="J161" s="24">
        <v>381564000</v>
      </c>
      <c r="K161" s="24">
        <v>462114000</v>
      </c>
      <c r="L161" s="24">
        <v>605318000</v>
      </c>
      <c r="M161" s="24">
        <v>610811000</v>
      </c>
      <c r="N161" s="24">
        <v>548117784</v>
      </c>
      <c r="O161" s="24">
        <v>977261801</v>
      </c>
      <c r="P161" s="24">
        <v>1148075293</v>
      </c>
      <c r="Q161" s="24">
        <v>1336722065</v>
      </c>
      <c r="R161" s="24">
        <v>1574665736</v>
      </c>
      <c r="S161" s="24">
        <v>1909467695</v>
      </c>
      <c r="T161" s="24">
        <v>2233860907</v>
      </c>
      <c r="U161" s="24">
        <v>2564628088</v>
      </c>
      <c r="V161" s="24">
        <v>2932720782</v>
      </c>
      <c r="W161" s="24">
        <v>3060330824</v>
      </c>
      <c r="X161" s="24">
        <v>3581582216</v>
      </c>
      <c r="Y161" s="24">
        <v>4003922329</v>
      </c>
      <c r="Z161" s="24">
        <v>4102242138</v>
      </c>
      <c r="AA161" s="24">
        <v>4585975330</v>
      </c>
      <c r="AB161" s="24">
        <v>5415534204</v>
      </c>
      <c r="AC161" s="24">
        <v>6058496101</v>
      </c>
      <c r="AD161" s="24">
        <v>6925468079</v>
      </c>
      <c r="AE161" s="24">
        <v>7566205310</v>
      </c>
      <c r="AF161" s="24">
        <v>7970472842</v>
      </c>
      <c r="AG161" s="24">
        <v>7839237083</v>
      </c>
      <c r="AH161" s="24">
        <v>7465974646</v>
      </c>
      <c r="AI161" s="24">
        <v>7115508024</v>
      </c>
      <c r="AJ161" s="24">
        <v>6167948401</v>
      </c>
      <c r="AK161" s="24">
        <v>5403507605</v>
      </c>
      <c r="AL161" s="24">
        <v>5020025627</v>
      </c>
      <c r="AM161" s="24">
        <v>4638350826</v>
      </c>
      <c r="AN161" s="24">
        <v>4166781245</v>
      </c>
      <c r="AO161" s="24">
        <v>3601453834</v>
      </c>
      <c r="AP161" s="24">
        <v>3252545967</v>
      </c>
      <c r="AQ161" s="24">
        <v>2917962703</v>
      </c>
      <c r="AR161" s="24">
        <v>2552259789</v>
      </c>
      <c r="AS161" s="24">
        <v>2190567090</v>
      </c>
      <c r="AT161" s="24">
        <v>1985979341</v>
      </c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3" spans="1:78" x14ac:dyDescent="0.2">
      <c r="B163" s="6" t="s">
        <v>138</v>
      </c>
      <c r="C163" s="6" t="s">
        <v>139</v>
      </c>
      <c r="D163" s="6" t="s">
        <v>141</v>
      </c>
      <c r="E163" s="6" t="s">
        <v>142</v>
      </c>
      <c r="F163" s="6" t="s">
        <v>143</v>
      </c>
      <c r="G163" s="6" t="s">
        <v>144</v>
      </c>
      <c r="H163" s="6" t="s">
        <v>145</v>
      </c>
      <c r="I163" s="6" t="s">
        <v>146</v>
      </c>
      <c r="J163" s="6" t="s">
        <v>147</v>
      </c>
      <c r="K163" s="6" t="s">
        <v>148</v>
      </c>
      <c r="L163" s="6" t="s">
        <v>149</v>
      </c>
      <c r="M163" s="6" t="s">
        <v>150</v>
      </c>
      <c r="N163" s="6" t="s">
        <v>151</v>
      </c>
      <c r="O163" s="6" t="s">
        <v>152</v>
      </c>
      <c r="P163" s="6" t="s">
        <v>153</v>
      </c>
      <c r="Q163" s="6" t="s">
        <v>154</v>
      </c>
      <c r="R163" s="6" t="s">
        <v>155</v>
      </c>
      <c r="S163" s="6" t="s">
        <v>156</v>
      </c>
      <c r="T163" s="6" t="s">
        <v>157</v>
      </c>
      <c r="U163" s="6" t="s">
        <v>158</v>
      </c>
      <c r="V163" s="6" t="s">
        <v>159</v>
      </c>
      <c r="W163" s="6" t="s">
        <v>160</v>
      </c>
      <c r="X163" s="6" t="s">
        <v>161</v>
      </c>
      <c r="Y163" s="6" t="s">
        <v>162</v>
      </c>
      <c r="Z163" s="6" t="s">
        <v>163</v>
      </c>
      <c r="AA163" s="6" t="s">
        <v>164</v>
      </c>
      <c r="AB163" s="6" t="s">
        <v>165</v>
      </c>
      <c r="AC163" s="6" t="s">
        <v>166</v>
      </c>
      <c r="AD163" s="6" t="s">
        <v>167</v>
      </c>
      <c r="AE163" s="6" t="s">
        <v>168</v>
      </c>
      <c r="AF163" s="6" t="s">
        <v>169</v>
      </c>
      <c r="AG163" s="6" t="s">
        <v>170</v>
      </c>
      <c r="AH163" s="6" t="s">
        <v>171</v>
      </c>
      <c r="AI163" s="6" t="s">
        <v>172</v>
      </c>
      <c r="AJ163" s="6" t="s">
        <v>173</v>
      </c>
      <c r="AK163" s="6" t="s">
        <v>174</v>
      </c>
      <c r="AL163" s="6" t="s">
        <v>175</v>
      </c>
      <c r="AM163" s="6" t="s">
        <v>176</v>
      </c>
      <c r="AN163" s="6" t="s">
        <v>177</v>
      </c>
      <c r="AO163" s="6" t="s">
        <v>178</v>
      </c>
      <c r="AP163" s="6" t="s">
        <v>179</v>
      </c>
      <c r="AQ163" s="6" t="s">
        <v>180</v>
      </c>
      <c r="AR163" s="6" t="s">
        <v>181</v>
      </c>
      <c r="AS163" s="6" t="s">
        <v>182</v>
      </c>
      <c r="AT163" s="6" t="s">
        <v>183</v>
      </c>
    </row>
    <row r="164" spans="1:78" ht="24" x14ac:dyDescent="0.2">
      <c r="A164" s="61" t="s">
        <v>241</v>
      </c>
      <c r="B164" s="24">
        <f>B93+B94+B95+B96+B97+B98</f>
        <v>0</v>
      </c>
      <c r="C164" s="24">
        <f t="shared" ref="C164:AT164" si="527">C93+C94+C95+C96+C97+C98</f>
        <v>0</v>
      </c>
      <c r="D164" s="24">
        <f t="shared" si="527"/>
        <v>0</v>
      </c>
      <c r="E164" s="24">
        <f t="shared" si="527"/>
        <v>0</v>
      </c>
      <c r="F164" s="24">
        <f t="shared" si="527"/>
        <v>0</v>
      </c>
      <c r="G164" s="24">
        <f t="shared" si="527"/>
        <v>0</v>
      </c>
      <c r="H164" s="24">
        <f t="shared" si="527"/>
        <v>0</v>
      </c>
      <c r="I164" s="24">
        <f t="shared" si="527"/>
        <v>0</v>
      </c>
      <c r="J164" s="24">
        <f t="shared" si="527"/>
        <v>0</v>
      </c>
      <c r="K164" s="24">
        <f t="shared" si="527"/>
        <v>0</v>
      </c>
      <c r="L164" s="24">
        <f t="shared" si="527"/>
        <v>0</v>
      </c>
      <c r="M164" s="24">
        <f t="shared" si="527"/>
        <v>0</v>
      </c>
      <c r="N164" s="24">
        <f t="shared" si="527"/>
        <v>0</v>
      </c>
      <c r="O164" s="24">
        <f t="shared" si="527"/>
        <v>0</v>
      </c>
      <c r="P164" s="24">
        <f t="shared" si="527"/>
        <v>0</v>
      </c>
      <c r="Q164" s="24">
        <f t="shared" si="527"/>
        <v>0</v>
      </c>
      <c r="R164" s="24">
        <f t="shared" si="527"/>
        <v>0</v>
      </c>
      <c r="S164" s="24">
        <f t="shared" si="527"/>
        <v>0</v>
      </c>
      <c r="T164" s="24">
        <f t="shared" si="527"/>
        <v>0</v>
      </c>
      <c r="U164" s="24">
        <f t="shared" si="527"/>
        <v>0</v>
      </c>
      <c r="V164" s="24">
        <f t="shared" si="527"/>
        <v>0</v>
      </c>
      <c r="W164" s="24">
        <f t="shared" si="527"/>
        <v>0</v>
      </c>
      <c r="X164" s="24">
        <f t="shared" si="527"/>
        <v>0</v>
      </c>
      <c r="Y164" s="24">
        <f t="shared" si="527"/>
        <v>0</v>
      </c>
      <c r="Z164" s="24">
        <f t="shared" si="527"/>
        <v>2871638236</v>
      </c>
      <c r="AA164" s="24">
        <f t="shared" si="527"/>
        <v>3260442046</v>
      </c>
      <c r="AB164" s="24">
        <f t="shared" si="527"/>
        <v>4053059089</v>
      </c>
      <c r="AC164" s="24">
        <f t="shared" si="527"/>
        <v>4718433680</v>
      </c>
      <c r="AD164" s="24">
        <f t="shared" si="527"/>
        <v>5378380512</v>
      </c>
      <c r="AE164" s="24">
        <f t="shared" si="527"/>
        <v>5912711062</v>
      </c>
      <c r="AF164" s="24">
        <f t="shared" si="527"/>
        <v>6105431026</v>
      </c>
      <c r="AG164" s="24">
        <f t="shared" si="527"/>
        <v>5947502702</v>
      </c>
      <c r="AH164" s="24">
        <f t="shared" si="527"/>
        <v>5695407264</v>
      </c>
      <c r="AI164" s="24">
        <f t="shared" si="527"/>
        <v>5421864095</v>
      </c>
      <c r="AJ164" s="24">
        <f t="shared" si="527"/>
        <v>4611469600</v>
      </c>
      <c r="AK164" s="24">
        <f t="shared" si="527"/>
        <v>3972835964</v>
      </c>
      <c r="AL164" s="24">
        <f t="shared" si="527"/>
        <v>3662491184</v>
      </c>
      <c r="AM164" s="24">
        <f t="shared" si="527"/>
        <v>3294341432</v>
      </c>
      <c r="AN164" s="24">
        <f t="shared" si="527"/>
        <v>2881776823</v>
      </c>
      <c r="AO164" s="24">
        <f t="shared" si="527"/>
        <v>2407515682</v>
      </c>
      <c r="AP164" s="24">
        <f t="shared" si="527"/>
        <v>2119226324</v>
      </c>
      <c r="AQ164" s="24">
        <f t="shared" si="527"/>
        <v>1877556327</v>
      </c>
      <c r="AR164" s="24">
        <f t="shared" si="527"/>
        <v>1626886120</v>
      </c>
      <c r="AS164" s="24">
        <f t="shared" si="527"/>
        <v>1388854139</v>
      </c>
      <c r="AT164" s="24">
        <f t="shared" si="527"/>
        <v>1288283900</v>
      </c>
    </row>
    <row r="165" spans="1:78" x14ac:dyDescent="0.2">
      <c r="A165" s="61" t="s">
        <v>245</v>
      </c>
      <c r="B165" s="24">
        <f>B124+B133+B134+B135+B136</f>
        <v>0</v>
      </c>
      <c r="C165" s="24">
        <f t="shared" ref="C165:AT165" si="528">C124+C133+C134+C135+C136</f>
        <v>0</v>
      </c>
      <c r="D165" s="24">
        <f t="shared" si="528"/>
        <v>840000</v>
      </c>
      <c r="E165" s="24">
        <f t="shared" si="528"/>
        <v>11941000</v>
      </c>
      <c r="F165" s="24">
        <f t="shared" si="528"/>
        <v>1297204</v>
      </c>
      <c r="G165" s="24">
        <f t="shared" si="528"/>
        <v>2916101</v>
      </c>
      <c r="H165" s="24">
        <f t="shared" si="528"/>
        <v>2627343</v>
      </c>
      <c r="I165" s="24">
        <f t="shared" si="528"/>
        <v>5176185</v>
      </c>
      <c r="J165" s="24">
        <f t="shared" si="528"/>
        <v>37974000</v>
      </c>
      <c r="K165" s="24">
        <f t="shared" si="528"/>
        <v>37647000</v>
      </c>
      <c r="L165" s="24">
        <f t="shared" si="528"/>
        <v>47595000</v>
      </c>
      <c r="M165" s="24">
        <f t="shared" si="528"/>
        <v>86561000</v>
      </c>
      <c r="N165" s="24">
        <f t="shared" si="528"/>
        <v>126191426</v>
      </c>
      <c r="O165" s="24">
        <f t="shared" si="528"/>
        <v>489696363</v>
      </c>
      <c r="P165" s="24">
        <f t="shared" si="528"/>
        <v>595825063</v>
      </c>
      <c r="Q165" s="24">
        <f t="shared" si="528"/>
        <v>605362954</v>
      </c>
      <c r="R165" s="24">
        <f t="shared" si="528"/>
        <v>623893167</v>
      </c>
      <c r="S165" s="24">
        <f t="shared" si="528"/>
        <v>634044795</v>
      </c>
      <c r="T165" s="24">
        <f t="shared" si="528"/>
        <v>551431239</v>
      </c>
      <c r="U165" s="24">
        <f t="shared" si="528"/>
        <v>494946029</v>
      </c>
      <c r="V165" s="24">
        <f t="shared" si="528"/>
        <v>452724592</v>
      </c>
      <c r="W165" s="24">
        <f t="shared" si="528"/>
        <v>372127378</v>
      </c>
      <c r="X165" s="24">
        <f t="shared" si="528"/>
        <v>376727076</v>
      </c>
      <c r="Y165" s="24">
        <f t="shared" si="528"/>
        <v>360890575</v>
      </c>
      <c r="Z165" s="24">
        <f t="shared" si="528"/>
        <v>138409562</v>
      </c>
      <c r="AA165" s="24">
        <f t="shared" si="528"/>
        <v>99585678</v>
      </c>
      <c r="AB165" s="24">
        <f t="shared" si="528"/>
        <v>91504871</v>
      </c>
      <c r="AC165" s="24">
        <f t="shared" si="528"/>
        <v>78158233</v>
      </c>
      <c r="AD165" s="24">
        <f t="shared" si="528"/>
        <v>65164621</v>
      </c>
      <c r="AE165" s="24">
        <f t="shared" si="528"/>
        <v>54722975</v>
      </c>
      <c r="AF165" s="24">
        <f t="shared" si="528"/>
        <v>43555953</v>
      </c>
      <c r="AG165" s="24">
        <f t="shared" si="528"/>
        <v>43598697</v>
      </c>
      <c r="AH165" s="24">
        <f t="shared" si="528"/>
        <v>43774405</v>
      </c>
      <c r="AI165" s="24">
        <f t="shared" si="528"/>
        <v>41125777</v>
      </c>
      <c r="AJ165" s="24">
        <f t="shared" si="528"/>
        <v>31331789</v>
      </c>
      <c r="AK165" s="24">
        <f t="shared" si="528"/>
        <v>24211483</v>
      </c>
      <c r="AL165" s="24">
        <f t="shared" si="528"/>
        <v>23109835</v>
      </c>
      <c r="AM165" s="24">
        <f t="shared" si="528"/>
        <v>17962610</v>
      </c>
      <c r="AN165" s="24">
        <f t="shared" si="528"/>
        <v>13701132</v>
      </c>
      <c r="AO165" s="24">
        <f t="shared" si="528"/>
        <v>10730323</v>
      </c>
      <c r="AP165" s="24">
        <f t="shared" si="528"/>
        <v>8017519</v>
      </c>
      <c r="AQ165" s="24">
        <f t="shared" si="528"/>
        <v>5170391</v>
      </c>
      <c r="AR165" s="24">
        <f t="shared" si="528"/>
        <v>4284454</v>
      </c>
      <c r="AS165" s="24">
        <f t="shared" si="528"/>
        <v>3643057</v>
      </c>
      <c r="AT165" s="24">
        <f t="shared" si="528"/>
        <v>1245377</v>
      </c>
    </row>
    <row r="166" spans="1:78" x14ac:dyDescent="0.2">
      <c r="A166" s="61" t="s">
        <v>246</v>
      </c>
      <c r="B166" s="24">
        <f>B161-B164-B165</f>
        <v>56467806</v>
      </c>
      <c r="C166" s="24">
        <f t="shared" ref="C166:AT166" si="529">C161-C164-C165</f>
        <v>69532000</v>
      </c>
      <c r="D166" s="24">
        <f t="shared" si="529"/>
        <v>82570000</v>
      </c>
      <c r="E166" s="24">
        <f t="shared" si="529"/>
        <v>192148000</v>
      </c>
      <c r="F166" s="24">
        <f t="shared" si="529"/>
        <v>71647067</v>
      </c>
      <c r="G166" s="24">
        <f t="shared" si="529"/>
        <v>74376829</v>
      </c>
      <c r="H166" s="24">
        <f t="shared" si="529"/>
        <v>134975696</v>
      </c>
      <c r="I166" s="24">
        <f t="shared" si="529"/>
        <v>204941245</v>
      </c>
      <c r="J166" s="24">
        <f t="shared" si="529"/>
        <v>343590000</v>
      </c>
      <c r="K166" s="24">
        <f t="shared" si="529"/>
        <v>424467000</v>
      </c>
      <c r="L166" s="24">
        <f t="shared" si="529"/>
        <v>557723000</v>
      </c>
      <c r="M166" s="24">
        <f t="shared" si="529"/>
        <v>524250000</v>
      </c>
      <c r="N166" s="24">
        <f t="shared" si="529"/>
        <v>421926358</v>
      </c>
      <c r="O166" s="24">
        <f t="shared" si="529"/>
        <v>487565438</v>
      </c>
      <c r="P166" s="24">
        <f t="shared" si="529"/>
        <v>552250230</v>
      </c>
      <c r="Q166" s="24">
        <f t="shared" si="529"/>
        <v>731359111</v>
      </c>
      <c r="R166" s="24">
        <f t="shared" si="529"/>
        <v>950772569</v>
      </c>
      <c r="S166" s="24">
        <f t="shared" si="529"/>
        <v>1275422900</v>
      </c>
      <c r="T166" s="24">
        <f t="shared" si="529"/>
        <v>1682429668</v>
      </c>
      <c r="U166" s="24">
        <f t="shared" si="529"/>
        <v>2069682059</v>
      </c>
      <c r="V166" s="24">
        <f t="shared" si="529"/>
        <v>2479996190</v>
      </c>
      <c r="W166" s="24">
        <f t="shared" si="529"/>
        <v>2688203446</v>
      </c>
      <c r="X166" s="24">
        <f t="shared" si="529"/>
        <v>3204855140</v>
      </c>
      <c r="Y166" s="24">
        <f t="shared" si="529"/>
        <v>3643031754</v>
      </c>
      <c r="Z166" s="24">
        <f t="shared" si="529"/>
        <v>1092194340</v>
      </c>
      <c r="AA166" s="24">
        <f t="shared" si="529"/>
        <v>1225947606</v>
      </c>
      <c r="AB166" s="24">
        <f t="shared" si="529"/>
        <v>1270970244</v>
      </c>
      <c r="AC166" s="24">
        <f t="shared" si="529"/>
        <v>1261904188</v>
      </c>
      <c r="AD166" s="24">
        <f t="shared" si="529"/>
        <v>1481922946</v>
      </c>
      <c r="AE166" s="24">
        <f t="shared" si="529"/>
        <v>1598771273</v>
      </c>
      <c r="AF166" s="24">
        <f t="shared" si="529"/>
        <v>1821485863</v>
      </c>
      <c r="AG166" s="24">
        <f t="shared" si="529"/>
        <v>1848135684</v>
      </c>
      <c r="AH166" s="24">
        <f t="shared" si="529"/>
        <v>1726792977</v>
      </c>
      <c r="AI166" s="24">
        <f t="shared" si="529"/>
        <v>1652518152</v>
      </c>
      <c r="AJ166" s="24">
        <f t="shared" si="529"/>
        <v>1525147012</v>
      </c>
      <c r="AK166" s="24">
        <f t="shared" si="529"/>
        <v>1406460158</v>
      </c>
      <c r="AL166" s="24">
        <f t="shared" si="529"/>
        <v>1334424608</v>
      </c>
      <c r="AM166" s="24">
        <f t="shared" si="529"/>
        <v>1326046784</v>
      </c>
      <c r="AN166" s="24">
        <f t="shared" si="529"/>
        <v>1271303290</v>
      </c>
      <c r="AO166" s="24">
        <f t="shared" si="529"/>
        <v>1183207829</v>
      </c>
      <c r="AP166" s="24">
        <f t="shared" si="529"/>
        <v>1125302124</v>
      </c>
      <c r="AQ166" s="24">
        <f t="shared" si="529"/>
        <v>1035235985</v>
      </c>
      <c r="AR166" s="24">
        <f t="shared" si="529"/>
        <v>921089215</v>
      </c>
      <c r="AS166" s="24">
        <f t="shared" si="529"/>
        <v>798069894</v>
      </c>
      <c r="AT166" s="24">
        <f t="shared" si="529"/>
        <v>696450064</v>
      </c>
    </row>
  </sheetData>
  <phoneticPr fontId="2"/>
  <pageMargins left="0.51181102362204722" right="0.51181102362204722" top="0.55118110236220474" bottom="0.55118110236220474" header="0.31496062992125984" footer="0.31496062992125984"/>
  <pageSetup paperSize="9" scale="98" fitToWidth="0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CBCF2-F454-4BDE-9E40-9C9F5D41EFE6}">
  <sheetPr>
    <pageSetUpPr fitToPage="1"/>
  </sheetPr>
  <dimension ref="A1:J63"/>
  <sheetViews>
    <sheetView workbookViewId="0">
      <selection activeCell="A2" sqref="A2"/>
    </sheetView>
  </sheetViews>
  <sheetFormatPr defaultRowHeight="13" x14ac:dyDescent="0.2"/>
  <cols>
    <col min="1" max="1" width="15.81640625" style="33" customWidth="1"/>
    <col min="2" max="2" width="9.08984375" style="7"/>
    <col min="3" max="3" width="13.7265625" style="7" customWidth="1"/>
    <col min="4" max="4" width="9.08984375" style="7"/>
    <col min="5" max="5" width="13.6328125" style="7" bestFit="1" customWidth="1"/>
    <col min="6" max="6" width="9.08984375" style="7"/>
    <col min="7" max="8" width="13.6328125" style="7" bestFit="1" customWidth="1"/>
    <col min="9" max="9" width="12.08984375" style="7" bestFit="1" customWidth="1"/>
    <col min="10" max="10" width="9.08984375" style="8"/>
  </cols>
  <sheetData>
    <row r="1" spans="1:10" x14ac:dyDescent="0.2">
      <c r="A1" s="33" t="s">
        <v>0</v>
      </c>
      <c r="B1" s="6" t="s">
        <v>175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/>
      <c r="F7" s="24"/>
      <c r="G7" s="24"/>
      <c r="H7" s="24"/>
      <c r="I7" s="24"/>
      <c r="J7" s="38"/>
    </row>
    <row r="8" spans="1:10" x14ac:dyDescent="0.2">
      <c r="A8" s="35" t="s">
        <v>34</v>
      </c>
      <c r="B8" s="24">
        <v>368</v>
      </c>
      <c r="C8" s="24">
        <v>674370000</v>
      </c>
      <c r="D8" s="24">
        <v>539</v>
      </c>
      <c r="E8" s="24">
        <v>1026510461</v>
      </c>
      <c r="F8" s="24">
        <v>2265</v>
      </c>
      <c r="G8" s="24">
        <v>2776181686</v>
      </c>
      <c r="H8" s="24">
        <v>2947941372</v>
      </c>
      <c r="I8" s="24">
        <v>258163817</v>
      </c>
      <c r="J8" s="38">
        <v>8.7599999999999997E-2</v>
      </c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>
        <v>11</v>
      </c>
      <c r="C10" s="24">
        <v>25620000</v>
      </c>
      <c r="D10" s="24">
        <v>22</v>
      </c>
      <c r="E10" s="24">
        <v>40969368</v>
      </c>
      <c r="F10" s="24">
        <v>98</v>
      </c>
      <c r="G10" s="24">
        <v>121483000</v>
      </c>
      <c r="H10" s="24">
        <v>128824124</v>
      </c>
      <c r="I10" s="24">
        <v>10791398</v>
      </c>
      <c r="J10" s="38">
        <v>8.3799999999999999E-2</v>
      </c>
    </row>
    <row r="11" spans="1:10" x14ac:dyDescent="0.2">
      <c r="A11" s="35" t="s">
        <v>37</v>
      </c>
      <c r="B11" s="24">
        <v>86</v>
      </c>
      <c r="C11" s="24">
        <v>194030000</v>
      </c>
      <c r="D11" s="24">
        <v>109</v>
      </c>
      <c r="E11" s="24">
        <v>208744051</v>
      </c>
      <c r="F11" s="24">
        <v>484</v>
      </c>
      <c r="G11" s="24">
        <v>675352279</v>
      </c>
      <c r="H11" s="24">
        <v>698750131</v>
      </c>
      <c r="I11" s="24">
        <v>58794810</v>
      </c>
      <c r="J11" s="38">
        <v>8.4099999999999994E-2</v>
      </c>
    </row>
    <row r="12" spans="1:10" x14ac:dyDescent="0.2">
      <c r="A12" s="35" t="s">
        <v>38</v>
      </c>
      <c r="B12" s="24">
        <v>282</v>
      </c>
      <c r="C12" s="24">
        <v>92610000</v>
      </c>
      <c r="D12" s="24">
        <v>91</v>
      </c>
      <c r="E12" s="24">
        <v>32217193</v>
      </c>
      <c r="F12" s="24">
        <v>266</v>
      </c>
      <c r="G12" s="24">
        <v>78007926</v>
      </c>
      <c r="H12" s="24">
        <v>47972953</v>
      </c>
      <c r="I12" s="24">
        <v>3468127</v>
      </c>
      <c r="J12" s="38">
        <v>7.2300000000000003E-2</v>
      </c>
    </row>
    <row r="13" spans="1:10" x14ac:dyDescent="0.2">
      <c r="A13" s="35" t="s">
        <v>39</v>
      </c>
      <c r="B13" s="24">
        <v>30</v>
      </c>
      <c r="C13" s="24">
        <v>13050000</v>
      </c>
      <c r="D13" s="24">
        <v>6</v>
      </c>
      <c r="E13" s="24">
        <v>1583707</v>
      </c>
      <c r="F13" s="24">
        <v>24</v>
      </c>
      <c r="G13" s="24">
        <v>11466293</v>
      </c>
      <c r="H13" s="24">
        <v>5107011</v>
      </c>
      <c r="I13" s="24">
        <v>220611</v>
      </c>
      <c r="J13" s="38">
        <v>4.3200000000000002E-2</v>
      </c>
    </row>
    <row r="14" spans="1:10" x14ac:dyDescent="0.2">
      <c r="A14" s="35" t="s">
        <v>40</v>
      </c>
      <c r="B14" s="24"/>
      <c r="C14" s="24"/>
      <c r="D14" s="24">
        <v>12</v>
      </c>
      <c r="E14" s="24">
        <v>9686866</v>
      </c>
      <c r="F14" s="24">
        <v>21</v>
      </c>
      <c r="G14" s="24">
        <v>8688385</v>
      </c>
      <c r="H14" s="24">
        <v>13019382</v>
      </c>
      <c r="I14" s="24">
        <v>1164588</v>
      </c>
      <c r="J14" s="38">
        <v>8.9499999999999996E-2</v>
      </c>
    </row>
    <row r="15" spans="1:10" x14ac:dyDescent="0.2">
      <c r="A15" s="35" t="s">
        <v>41</v>
      </c>
      <c r="B15" s="24"/>
      <c r="C15" s="24"/>
      <c r="D15" s="24">
        <v>6</v>
      </c>
      <c r="E15" s="24">
        <v>2054743</v>
      </c>
      <c r="F15" s="24">
        <v>8</v>
      </c>
      <c r="G15" s="24">
        <v>4800122</v>
      </c>
      <c r="H15" s="24">
        <v>5575551</v>
      </c>
      <c r="I15" s="24">
        <v>545134</v>
      </c>
      <c r="J15" s="38">
        <v>9.7799999999999998E-2</v>
      </c>
    </row>
    <row r="16" spans="1:10" x14ac:dyDescent="0.2">
      <c r="A16" s="35" t="s">
        <v>42</v>
      </c>
      <c r="B16" s="24"/>
      <c r="C16" s="24"/>
      <c r="D16" s="24">
        <v>16</v>
      </c>
      <c r="E16" s="24">
        <v>23212999</v>
      </c>
      <c r="F16" s="24">
        <v>46</v>
      </c>
      <c r="G16" s="24">
        <v>51774940</v>
      </c>
      <c r="H16" s="24">
        <v>62550811</v>
      </c>
      <c r="I16" s="24">
        <v>6148257</v>
      </c>
      <c r="J16" s="38">
        <v>9.8299999999999998E-2</v>
      </c>
    </row>
    <row r="17" spans="1:10" x14ac:dyDescent="0.2">
      <c r="A17" s="36" t="s">
        <v>73</v>
      </c>
      <c r="B17" s="25">
        <v>777</v>
      </c>
      <c r="C17" s="25">
        <v>999680000</v>
      </c>
      <c r="D17" s="25">
        <v>801</v>
      </c>
      <c r="E17" s="25">
        <v>1344979388</v>
      </c>
      <c r="F17" s="25">
        <v>3212</v>
      </c>
      <c r="G17" s="25">
        <v>3727754631</v>
      </c>
      <c r="H17" s="25">
        <v>3909741335</v>
      </c>
      <c r="I17" s="25">
        <v>339296742</v>
      </c>
      <c r="J17" s="39">
        <v>8.2075000000000009E-2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/>
      <c r="C19" s="24"/>
      <c r="D19" s="24">
        <v>2</v>
      </c>
      <c r="E19" s="24">
        <v>320789</v>
      </c>
      <c r="F19" s="24">
        <v>2</v>
      </c>
      <c r="G19" s="24">
        <v>355659</v>
      </c>
      <c r="H19" s="24">
        <v>453989</v>
      </c>
      <c r="I19" s="24">
        <v>45390</v>
      </c>
      <c r="J19" s="38">
        <v>0.1</v>
      </c>
    </row>
    <row r="20" spans="1:10" x14ac:dyDescent="0.2">
      <c r="A20" s="35" t="s">
        <v>44</v>
      </c>
      <c r="B20" s="24">
        <v>1</v>
      </c>
      <c r="C20" s="24">
        <v>500000</v>
      </c>
      <c r="D20" s="24">
        <v>12</v>
      </c>
      <c r="E20" s="24">
        <v>1308643</v>
      </c>
      <c r="F20" s="24">
        <v>4</v>
      </c>
      <c r="G20" s="24">
        <v>990653</v>
      </c>
      <c r="H20" s="24">
        <v>1284687</v>
      </c>
      <c r="I20" s="24">
        <v>131478</v>
      </c>
      <c r="J20" s="38">
        <v>0.1023</v>
      </c>
    </row>
    <row r="21" spans="1:10" x14ac:dyDescent="0.2">
      <c r="A21" s="35" t="s">
        <v>45</v>
      </c>
      <c r="B21" s="24">
        <v>18</v>
      </c>
      <c r="C21" s="24">
        <v>15540000</v>
      </c>
      <c r="D21" s="24">
        <v>21</v>
      </c>
      <c r="E21" s="24">
        <v>20139556</v>
      </c>
      <c r="F21" s="24">
        <v>61</v>
      </c>
      <c r="G21" s="24">
        <v>41786612</v>
      </c>
      <c r="H21" s="24">
        <v>41860658</v>
      </c>
      <c r="I21" s="24">
        <v>3854787</v>
      </c>
      <c r="J21" s="38">
        <v>9.2100000000000001E-2</v>
      </c>
    </row>
    <row r="22" spans="1:10" x14ac:dyDescent="0.2">
      <c r="A22" s="35" t="s">
        <v>46</v>
      </c>
      <c r="B22" s="24"/>
      <c r="C22" s="24"/>
      <c r="D22" s="24">
        <v>1</v>
      </c>
      <c r="E22" s="24">
        <v>40712</v>
      </c>
      <c r="F22" s="24"/>
      <c r="G22" s="24"/>
      <c r="H22" s="24"/>
      <c r="I22" s="24">
        <v>515</v>
      </c>
      <c r="J22" s="38"/>
    </row>
    <row r="23" spans="1:10" ht="24" x14ac:dyDescent="0.2">
      <c r="A23" s="35" t="s">
        <v>47</v>
      </c>
      <c r="B23" s="24">
        <v>27</v>
      </c>
      <c r="C23" s="24">
        <v>19120000</v>
      </c>
      <c r="D23" s="24">
        <v>110</v>
      </c>
      <c r="E23" s="24">
        <v>52759453</v>
      </c>
      <c r="F23" s="24">
        <v>182</v>
      </c>
      <c r="G23" s="24">
        <v>77994229</v>
      </c>
      <c r="H23" s="24">
        <v>92941572</v>
      </c>
      <c r="I23" s="24">
        <v>10231114</v>
      </c>
      <c r="J23" s="38">
        <v>0.1101</v>
      </c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80</v>
      </c>
      <c r="C25" s="24">
        <v>69920000</v>
      </c>
      <c r="D25" s="24">
        <v>25</v>
      </c>
      <c r="E25" s="24">
        <v>42596623</v>
      </c>
      <c r="F25" s="24">
        <v>197</v>
      </c>
      <c r="G25" s="24">
        <v>142244393</v>
      </c>
      <c r="H25" s="24">
        <v>129342296</v>
      </c>
      <c r="I25" s="24">
        <v>11546687</v>
      </c>
      <c r="J25" s="38">
        <v>8.9300000000000004E-2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126</v>
      </c>
      <c r="C31" s="25">
        <v>105080000</v>
      </c>
      <c r="D31" s="25">
        <v>171</v>
      </c>
      <c r="E31" s="25">
        <v>117165776</v>
      </c>
      <c r="F31" s="25">
        <v>446</v>
      </c>
      <c r="G31" s="25">
        <v>263371546</v>
      </c>
      <c r="H31" s="25">
        <v>265883202</v>
      </c>
      <c r="I31" s="25">
        <v>25809971</v>
      </c>
      <c r="J31" s="39">
        <v>9.8759999999999987E-2</v>
      </c>
    </row>
    <row r="32" spans="1:10" x14ac:dyDescent="0.2">
      <c r="A32" s="35" t="s">
        <v>50</v>
      </c>
      <c r="B32" s="24">
        <v>3</v>
      </c>
      <c r="C32" s="24">
        <v>15730000</v>
      </c>
      <c r="D32" s="24">
        <v>21</v>
      </c>
      <c r="E32" s="24">
        <v>127130789</v>
      </c>
      <c r="F32" s="24">
        <v>128</v>
      </c>
      <c r="G32" s="24">
        <v>616121201</v>
      </c>
      <c r="H32" s="24">
        <v>667002105</v>
      </c>
      <c r="I32" s="24">
        <v>46155299</v>
      </c>
      <c r="J32" s="38">
        <v>6.9199999999999998E-2</v>
      </c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>
        <v>2</v>
      </c>
      <c r="E34" s="24">
        <v>4567755</v>
      </c>
      <c r="F34" s="24">
        <v>5</v>
      </c>
      <c r="G34" s="24">
        <v>15902012</v>
      </c>
      <c r="H34" s="24">
        <v>17242046</v>
      </c>
      <c r="I34" s="24">
        <v>873944</v>
      </c>
      <c r="J34" s="38">
        <v>5.0700000000000002E-2</v>
      </c>
    </row>
    <row r="35" spans="1:10" x14ac:dyDescent="0.2">
      <c r="A35" s="35" t="s">
        <v>52</v>
      </c>
      <c r="B35" s="24"/>
      <c r="C35" s="24"/>
      <c r="D35" s="24">
        <v>0</v>
      </c>
      <c r="E35" s="24">
        <v>1205952</v>
      </c>
      <c r="F35" s="24">
        <v>3</v>
      </c>
      <c r="G35" s="24">
        <v>6613239</v>
      </c>
      <c r="H35" s="24">
        <v>7177703</v>
      </c>
      <c r="I35" s="24">
        <v>881935</v>
      </c>
      <c r="J35" s="38">
        <v>0.1229</v>
      </c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3</v>
      </c>
      <c r="C38" s="25">
        <v>15730000</v>
      </c>
      <c r="D38" s="25">
        <v>23</v>
      </c>
      <c r="E38" s="25">
        <v>132904496</v>
      </c>
      <c r="F38" s="25">
        <v>136</v>
      </c>
      <c r="G38" s="25">
        <v>638636452</v>
      </c>
      <c r="H38" s="25">
        <v>691421854</v>
      </c>
      <c r="I38" s="25">
        <v>47911178</v>
      </c>
      <c r="J38" s="39">
        <v>8.0933333333333343E-2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>
        <v>233</v>
      </c>
      <c r="C41" s="24">
        <v>212520000</v>
      </c>
      <c r="D41" s="24">
        <v>146</v>
      </c>
      <c r="E41" s="24">
        <v>105695172</v>
      </c>
      <c r="F41" s="24">
        <v>410</v>
      </c>
      <c r="G41" s="24">
        <v>306384884</v>
      </c>
      <c r="H41" s="24">
        <v>258720492</v>
      </c>
      <c r="I41" s="24">
        <v>21980399</v>
      </c>
      <c r="J41" s="38">
        <v>8.5000000000000006E-2</v>
      </c>
    </row>
    <row r="42" spans="1:10" x14ac:dyDescent="0.2">
      <c r="A42" s="35" t="s">
        <v>54</v>
      </c>
      <c r="B42" s="24"/>
      <c r="C42" s="24"/>
      <c r="D42" s="24">
        <v>5</v>
      </c>
      <c r="E42" s="24">
        <v>894024</v>
      </c>
      <c r="F42" s="24">
        <v>4</v>
      </c>
      <c r="G42" s="24">
        <v>388004</v>
      </c>
      <c r="H42" s="24">
        <v>619454</v>
      </c>
      <c r="I42" s="24">
        <v>42020</v>
      </c>
      <c r="J42" s="38">
        <v>6.7799999999999999E-2</v>
      </c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>
        <v>25</v>
      </c>
      <c r="E44" s="24">
        <v>18902601</v>
      </c>
      <c r="F44" s="24">
        <v>43</v>
      </c>
      <c r="G44" s="24">
        <v>24434267</v>
      </c>
      <c r="H44" s="24">
        <v>33507962</v>
      </c>
      <c r="I44" s="24">
        <v>3022719</v>
      </c>
      <c r="J44" s="38">
        <v>9.0200000000000002E-2</v>
      </c>
    </row>
    <row r="45" spans="1:10" x14ac:dyDescent="0.2">
      <c r="A45" s="35" t="s">
        <v>57</v>
      </c>
      <c r="B45" s="24"/>
      <c r="C45" s="24"/>
      <c r="D45" s="24">
        <v>7</v>
      </c>
      <c r="E45" s="24">
        <v>4861059</v>
      </c>
      <c r="F45" s="24">
        <v>14</v>
      </c>
      <c r="G45" s="24">
        <v>6513137</v>
      </c>
      <c r="H45" s="24">
        <v>9239577</v>
      </c>
      <c r="I45" s="24">
        <v>759769</v>
      </c>
      <c r="J45" s="38">
        <v>8.2199999999999995E-2</v>
      </c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233</v>
      </c>
      <c r="C47" s="25">
        <v>212520000</v>
      </c>
      <c r="D47" s="25">
        <v>183</v>
      </c>
      <c r="E47" s="25">
        <v>130352856</v>
      </c>
      <c r="F47" s="25">
        <v>471</v>
      </c>
      <c r="G47" s="25">
        <v>337720292</v>
      </c>
      <c r="H47" s="25">
        <v>302087485</v>
      </c>
      <c r="I47" s="25">
        <v>25804907</v>
      </c>
      <c r="J47" s="39">
        <v>8.1299999999999997E-2</v>
      </c>
    </row>
    <row r="48" spans="1:10" x14ac:dyDescent="0.2">
      <c r="A48" s="35" t="s">
        <v>58</v>
      </c>
      <c r="B48" s="24">
        <v>4</v>
      </c>
      <c r="C48" s="24">
        <v>5730000</v>
      </c>
      <c r="D48" s="24">
        <v>3</v>
      </c>
      <c r="E48" s="24">
        <v>6618581</v>
      </c>
      <c r="F48" s="24">
        <v>17</v>
      </c>
      <c r="G48" s="24">
        <v>23109835</v>
      </c>
      <c r="H48" s="24">
        <v>24866700</v>
      </c>
      <c r="I48" s="24">
        <v>1646699</v>
      </c>
      <c r="J48" s="38">
        <v>6.6199999999999995E-2</v>
      </c>
    </row>
    <row r="49" spans="1:10" ht="24" x14ac:dyDescent="0.2">
      <c r="A49" s="35" t="s">
        <v>59</v>
      </c>
      <c r="B49" s="24"/>
      <c r="C49" s="24"/>
      <c r="D49" s="24">
        <v>1</v>
      </c>
      <c r="E49" s="24">
        <v>213067</v>
      </c>
      <c r="F49" s="24"/>
      <c r="G49" s="24"/>
      <c r="H49" s="24">
        <v>62622</v>
      </c>
      <c r="I49" s="24">
        <v>5495</v>
      </c>
      <c r="J49" s="38">
        <v>8.77E-2</v>
      </c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4</v>
      </c>
      <c r="C52" s="25">
        <v>5730000</v>
      </c>
      <c r="D52" s="25">
        <v>4</v>
      </c>
      <c r="E52" s="25">
        <v>6831648</v>
      </c>
      <c r="F52" s="25">
        <v>17</v>
      </c>
      <c r="G52" s="25">
        <v>23109835</v>
      </c>
      <c r="H52" s="25">
        <v>24929322</v>
      </c>
      <c r="I52" s="25">
        <v>1652194</v>
      </c>
      <c r="J52" s="39">
        <v>7.6949999999999991E-2</v>
      </c>
    </row>
    <row r="53" spans="1:10" x14ac:dyDescent="0.2">
      <c r="A53" s="35" t="s">
        <v>60</v>
      </c>
      <c r="B53" s="24">
        <v>7</v>
      </c>
      <c r="C53" s="24">
        <v>11440416</v>
      </c>
      <c r="D53" s="24">
        <v>3</v>
      </c>
      <c r="E53" s="24">
        <v>1428230</v>
      </c>
      <c r="F53" s="24">
        <v>19</v>
      </c>
      <c r="G53" s="24">
        <v>29432871</v>
      </c>
      <c r="H53" s="24">
        <v>21788035</v>
      </c>
      <c r="I53" s="24">
        <v>1559982</v>
      </c>
      <c r="J53" s="38">
        <v>7.1599999999999997E-2</v>
      </c>
    </row>
    <row r="54" spans="1:10" x14ac:dyDescent="0.2">
      <c r="A54" s="36" t="s">
        <v>73</v>
      </c>
      <c r="B54" s="25">
        <v>7</v>
      </c>
      <c r="C54" s="25">
        <v>11440416</v>
      </c>
      <c r="D54" s="25">
        <v>3</v>
      </c>
      <c r="E54" s="25">
        <v>1428230</v>
      </c>
      <c r="F54" s="25">
        <v>19</v>
      </c>
      <c r="G54" s="25">
        <v>29432871</v>
      </c>
      <c r="H54" s="25">
        <v>21788035</v>
      </c>
      <c r="I54" s="25">
        <v>1559982</v>
      </c>
      <c r="J54" s="39">
        <v>7.1599999999999997E-2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1150</v>
      </c>
      <c r="C63" s="40">
        <v>1350180416</v>
      </c>
      <c r="D63" s="40">
        <v>1185</v>
      </c>
      <c r="E63" s="40">
        <v>1733662394</v>
      </c>
      <c r="F63" s="40">
        <v>4301</v>
      </c>
      <c r="G63" s="40">
        <v>5020025627</v>
      </c>
      <c r="H63" s="40">
        <v>5215851233</v>
      </c>
      <c r="I63" s="40">
        <v>442034974</v>
      </c>
      <c r="J63" s="41">
        <v>8.4748386074223761E-2</v>
      </c>
    </row>
  </sheetData>
  <phoneticPr fontId="2"/>
  <pageMargins left="0.7" right="0.7" top="0.75" bottom="0.75" header="0.3" footer="0.3"/>
  <pageSetup paperSize="9" scale="74"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90375-6721-486C-B084-B41D684DB744}">
  <sheetPr>
    <pageSetUpPr fitToPage="1"/>
  </sheetPr>
  <dimension ref="A1:J63"/>
  <sheetViews>
    <sheetView workbookViewId="0"/>
  </sheetViews>
  <sheetFormatPr defaultRowHeight="13" x14ac:dyDescent="0.2"/>
  <cols>
    <col min="1" max="1" width="15.81640625" style="33" customWidth="1"/>
    <col min="2" max="2" width="9.08984375" style="7"/>
    <col min="3" max="3" width="13.90625" style="7" customWidth="1"/>
    <col min="4" max="4" width="9.08984375" style="7"/>
    <col min="5" max="5" width="14.36328125" style="7" customWidth="1"/>
    <col min="6" max="6" width="9.08984375" style="7"/>
    <col min="7" max="8" width="13.6328125" style="7" bestFit="1" customWidth="1"/>
    <col min="9" max="9" width="12.08984375" style="7" bestFit="1" customWidth="1"/>
    <col min="10" max="10" width="9.08984375" style="8"/>
  </cols>
  <sheetData>
    <row r="1" spans="1:10" x14ac:dyDescent="0.2">
      <c r="A1" s="33" t="s">
        <v>0</v>
      </c>
      <c r="B1" s="6" t="s">
        <v>176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>
        <v>68</v>
      </c>
      <c r="C7" s="24">
        <v>31120000</v>
      </c>
      <c r="D7" s="24">
        <v>3</v>
      </c>
      <c r="E7" s="24">
        <v>3847362</v>
      </c>
      <c r="F7" s="24">
        <v>65</v>
      </c>
      <c r="G7" s="24">
        <v>27272638</v>
      </c>
      <c r="H7" s="24"/>
      <c r="I7" s="24"/>
      <c r="J7" s="38"/>
    </row>
    <row r="8" spans="1:10" x14ac:dyDescent="0.2">
      <c r="A8" s="35" t="s">
        <v>34</v>
      </c>
      <c r="B8" s="24">
        <v>282</v>
      </c>
      <c r="C8" s="24">
        <v>468980000</v>
      </c>
      <c r="D8" s="24">
        <v>512</v>
      </c>
      <c r="E8" s="24">
        <v>892741720</v>
      </c>
      <c r="F8" s="24">
        <v>2035</v>
      </c>
      <c r="G8" s="24">
        <v>2352419966</v>
      </c>
      <c r="H8" s="24">
        <v>2509915292</v>
      </c>
      <c r="I8" s="24">
        <v>218061331</v>
      </c>
      <c r="J8" s="38">
        <v>8.6900000000000005E-2</v>
      </c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>
        <v>120</v>
      </c>
      <c r="C10" s="24">
        <v>235230000</v>
      </c>
      <c r="D10" s="24">
        <v>31</v>
      </c>
      <c r="E10" s="24">
        <v>57437389</v>
      </c>
      <c r="F10" s="24">
        <v>187</v>
      </c>
      <c r="G10" s="24">
        <v>299275611</v>
      </c>
      <c r="H10" s="24">
        <v>234017191</v>
      </c>
      <c r="I10" s="24">
        <v>18679896</v>
      </c>
      <c r="J10" s="38">
        <v>7.9799999999999996E-2</v>
      </c>
    </row>
    <row r="11" spans="1:10" x14ac:dyDescent="0.2">
      <c r="A11" s="35" t="s">
        <v>37</v>
      </c>
      <c r="B11" s="24">
        <v>8</v>
      </c>
      <c r="C11" s="24">
        <v>16260000</v>
      </c>
      <c r="D11" s="24">
        <v>108</v>
      </c>
      <c r="E11" s="24">
        <v>207856250</v>
      </c>
      <c r="F11" s="24">
        <v>384</v>
      </c>
      <c r="G11" s="24">
        <v>483756029</v>
      </c>
      <c r="H11" s="24">
        <v>565517398</v>
      </c>
      <c r="I11" s="24">
        <v>46795554</v>
      </c>
      <c r="J11" s="38">
        <v>8.2699999999999996E-2</v>
      </c>
    </row>
    <row r="12" spans="1:10" x14ac:dyDescent="0.2">
      <c r="A12" s="35" t="s">
        <v>38</v>
      </c>
      <c r="B12" s="24">
        <v>324</v>
      </c>
      <c r="C12" s="24">
        <v>107910000</v>
      </c>
      <c r="D12" s="24">
        <v>187</v>
      </c>
      <c r="E12" s="24">
        <v>69083003</v>
      </c>
      <c r="F12" s="24">
        <v>411</v>
      </c>
      <c r="G12" s="24">
        <v>121931469</v>
      </c>
      <c r="H12" s="24">
        <v>47972953</v>
      </c>
      <c r="I12" s="24">
        <v>7806608</v>
      </c>
      <c r="J12" s="38">
        <v>0.16270000000000001</v>
      </c>
    </row>
    <row r="13" spans="1:10" x14ac:dyDescent="0.2">
      <c r="A13" s="35" t="s">
        <v>39</v>
      </c>
      <c r="B13" s="24">
        <v>59</v>
      </c>
      <c r="C13" s="24">
        <v>33140000</v>
      </c>
      <c r="D13" s="24">
        <v>2</v>
      </c>
      <c r="E13" s="24">
        <v>2551390</v>
      </c>
      <c r="F13" s="24">
        <v>73</v>
      </c>
      <c r="G13" s="24">
        <v>36958357</v>
      </c>
      <c r="H13" s="24">
        <v>5107011</v>
      </c>
      <c r="I13" s="24">
        <v>1242560</v>
      </c>
      <c r="J13" s="38">
        <v>0.24329999999999999</v>
      </c>
    </row>
    <row r="14" spans="1:10" x14ac:dyDescent="0.2">
      <c r="A14" s="35" t="s">
        <v>40</v>
      </c>
      <c r="B14" s="24"/>
      <c r="C14" s="24"/>
      <c r="D14" s="24">
        <v>7</v>
      </c>
      <c r="E14" s="24">
        <v>3822938</v>
      </c>
      <c r="F14" s="24">
        <v>14</v>
      </c>
      <c r="G14" s="24">
        <v>4865447</v>
      </c>
      <c r="H14" s="24">
        <v>6642520</v>
      </c>
      <c r="I14" s="24">
        <v>625449</v>
      </c>
      <c r="J14" s="38">
        <v>9.4200000000000006E-2</v>
      </c>
    </row>
    <row r="15" spans="1:10" x14ac:dyDescent="0.2">
      <c r="A15" s="35" t="s">
        <v>41</v>
      </c>
      <c r="B15" s="24"/>
      <c r="C15" s="24"/>
      <c r="D15" s="24">
        <v>6</v>
      </c>
      <c r="E15" s="24">
        <v>3476807</v>
      </c>
      <c r="F15" s="24">
        <v>2</v>
      </c>
      <c r="G15" s="24">
        <v>1323315</v>
      </c>
      <c r="H15" s="24">
        <v>2550528</v>
      </c>
      <c r="I15" s="24">
        <v>218456</v>
      </c>
      <c r="J15" s="38">
        <v>8.5699999999999998E-2</v>
      </c>
    </row>
    <row r="16" spans="1:10" x14ac:dyDescent="0.2">
      <c r="A16" s="35" t="s">
        <v>42</v>
      </c>
      <c r="B16" s="24"/>
      <c r="C16" s="24"/>
      <c r="D16" s="24">
        <v>14</v>
      </c>
      <c r="E16" s="24">
        <v>18649959</v>
      </c>
      <c r="F16" s="24">
        <v>32</v>
      </c>
      <c r="G16" s="24">
        <v>33124981</v>
      </c>
      <c r="H16" s="24">
        <v>39987891</v>
      </c>
      <c r="I16" s="24">
        <v>3691407</v>
      </c>
      <c r="J16" s="38">
        <v>9.2299999999999993E-2</v>
      </c>
    </row>
    <row r="17" spans="1:10" x14ac:dyDescent="0.2">
      <c r="A17" s="36" t="s">
        <v>73</v>
      </c>
      <c r="B17" s="25">
        <v>861</v>
      </c>
      <c r="C17" s="25">
        <v>892640000</v>
      </c>
      <c r="D17" s="25">
        <v>870</v>
      </c>
      <c r="E17" s="25">
        <v>1259466818</v>
      </c>
      <c r="F17" s="25">
        <v>3203</v>
      </c>
      <c r="G17" s="25">
        <v>3360927813</v>
      </c>
      <c r="H17" s="25">
        <v>3411710784</v>
      </c>
      <c r="I17" s="25">
        <v>297121261</v>
      </c>
      <c r="J17" s="39">
        <v>0.11595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/>
      <c r="C19" s="24"/>
      <c r="D19" s="24">
        <v>1</v>
      </c>
      <c r="E19" s="24">
        <v>106345</v>
      </c>
      <c r="F19" s="24">
        <v>1</v>
      </c>
      <c r="G19" s="24">
        <v>249314</v>
      </c>
      <c r="H19" s="24">
        <v>278675</v>
      </c>
      <c r="I19" s="24">
        <v>21581</v>
      </c>
      <c r="J19" s="38">
        <v>7.7399999999999997E-2</v>
      </c>
    </row>
    <row r="20" spans="1:10" x14ac:dyDescent="0.2">
      <c r="A20" s="35" t="s">
        <v>44</v>
      </c>
      <c r="B20" s="24"/>
      <c r="C20" s="24"/>
      <c r="D20" s="24">
        <v>2</v>
      </c>
      <c r="E20" s="24">
        <v>587142</v>
      </c>
      <c r="F20" s="24">
        <v>2</v>
      </c>
      <c r="G20" s="24">
        <v>403511</v>
      </c>
      <c r="H20" s="24">
        <v>642896</v>
      </c>
      <c r="I20" s="24">
        <v>72620</v>
      </c>
      <c r="J20" s="38">
        <v>0.113</v>
      </c>
    </row>
    <row r="21" spans="1:10" x14ac:dyDescent="0.2">
      <c r="A21" s="35" t="s">
        <v>45</v>
      </c>
      <c r="B21" s="24">
        <v>12</v>
      </c>
      <c r="C21" s="24">
        <v>15380000</v>
      </c>
      <c r="D21" s="24">
        <v>18</v>
      </c>
      <c r="E21" s="24">
        <v>13150412</v>
      </c>
      <c r="F21" s="24">
        <v>55</v>
      </c>
      <c r="G21" s="24">
        <v>44016200</v>
      </c>
      <c r="H21" s="24">
        <v>40481207</v>
      </c>
      <c r="I21" s="24">
        <v>3652769</v>
      </c>
      <c r="J21" s="38">
        <v>9.0200000000000002E-2</v>
      </c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>
        <v>9</v>
      </c>
      <c r="C23" s="24">
        <v>6940000</v>
      </c>
      <c r="D23" s="24">
        <v>84</v>
      </c>
      <c r="E23" s="24">
        <v>32495541</v>
      </c>
      <c r="F23" s="24">
        <v>107</v>
      </c>
      <c r="G23" s="24">
        <v>52438688</v>
      </c>
      <c r="H23" s="24">
        <v>60991620</v>
      </c>
      <c r="I23" s="24">
        <v>6391639</v>
      </c>
      <c r="J23" s="38">
        <v>0.1048</v>
      </c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80</v>
      </c>
      <c r="C25" s="24">
        <v>99280000</v>
      </c>
      <c r="D25" s="24">
        <v>38</v>
      </c>
      <c r="E25" s="24">
        <v>57131402</v>
      </c>
      <c r="F25" s="24">
        <v>239</v>
      </c>
      <c r="G25" s="24">
        <v>184392991</v>
      </c>
      <c r="H25" s="24">
        <v>169466987</v>
      </c>
      <c r="I25" s="24">
        <v>14819134</v>
      </c>
      <c r="J25" s="38">
        <v>8.7400000000000005E-2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101</v>
      </c>
      <c r="C31" s="25">
        <v>121600000</v>
      </c>
      <c r="D31" s="25">
        <v>143</v>
      </c>
      <c r="E31" s="25">
        <v>103470842</v>
      </c>
      <c r="F31" s="25">
        <v>404</v>
      </c>
      <c r="G31" s="25">
        <v>281500704</v>
      </c>
      <c r="H31" s="25">
        <v>271861385</v>
      </c>
      <c r="I31" s="25">
        <v>24957743</v>
      </c>
      <c r="J31" s="39">
        <v>9.4560000000000005E-2</v>
      </c>
    </row>
    <row r="32" spans="1:10" x14ac:dyDescent="0.2">
      <c r="A32" s="35" t="s">
        <v>50</v>
      </c>
      <c r="B32" s="24">
        <v>7</v>
      </c>
      <c r="C32" s="24">
        <v>26500000</v>
      </c>
      <c r="D32" s="24">
        <v>16</v>
      </c>
      <c r="E32" s="24">
        <v>106531490</v>
      </c>
      <c r="F32" s="24">
        <v>119</v>
      </c>
      <c r="G32" s="24">
        <v>536089711</v>
      </c>
      <c r="H32" s="24">
        <v>575374243</v>
      </c>
      <c r="I32" s="24">
        <v>51602902</v>
      </c>
      <c r="J32" s="38">
        <v>8.9700000000000002E-2</v>
      </c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>
        <v>2</v>
      </c>
      <c r="E34" s="24">
        <v>4950940</v>
      </c>
      <c r="F34" s="24">
        <v>3</v>
      </c>
      <c r="G34" s="24">
        <v>10951072</v>
      </c>
      <c r="H34" s="24">
        <v>14383239</v>
      </c>
      <c r="I34" s="24">
        <v>2311391</v>
      </c>
      <c r="J34" s="38">
        <v>0.16070000000000001</v>
      </c>
    </row>
    <row r="35" spans="1:10" x14ac:dyDescent="0.2">
      <c r="A35" s="35" t="s">
        <v>52</v>
      </c>
      <c r="B35" s="24"/>
      <c r="C35" s="24"/>
      <c r="D35" s="24">
        <v>0</v>
      </c>
      <c r="E35" s="24">
        <v>1472473</v>
      </c>
      <c r="F35" s="24">
        <v>3</v>
      </c>
      <c r="G35" s="24">
        <v>5140766</v>
      </c>
      <c r="H35" s="24">
        <v>5820695</v>
      </c>
      <c r="I35" s="24">
        <v>718145</v>
      </c>
      <c r="J35" s="38">
        <v>0.123</v>
      </c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7</v>
      </c>
      <c r="C38" s="25">
        <v>26500000</v>
      </c>
      <c r="D38" s="25">
        <v>18</v>
      </c>
      <c r="E38" s="25">
        <v>112954903</v>
      </c>
      <c r="F38" s="25">
        <v>125</v>
      </c>
      <c r="G38" s="25">
        <v>552181549</v>
      </c>
      <c r="H38" s="25">
        <v>595578177</v>
      </c>
      <c r="I38" s="25">
        <v>54632438</v>
      </c>
      <c r="J38" s="39">
        <v>0.12446666666666667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>
        <v>193</v>
      </c>
      <c r="C41" s="24">
        <v>194650000</v>
      </c>
      <c r="D41" s="24">
        <v>127</v>
      </c>
      <c r="E41" s="24">
        <v>121151715</v>
      </c>
      <c r="F41" s="24">
        <v>476</v>
      </c>
      <c r="G41" s="24">
        <v>379883169</v>
      </c>
      <c r="H41" s="24">
        <v>349593773</v>
      </c>
      <c r="I41" s="24">
        <v>30090090</v>
      </c>
      <c r="J41" s="38">
        <v>8.6099999999999996E-2</v>
      </c>
    </row>
    <row r="42" spans="1:10" x14ac:dyDescent="0.2">
      <c r="A42" s="35" t="s">
        <v>54</v>
      </c>
      <c r="B42" s="24"/>
      <c r="C42" s="24"/>
      <c r="D42" s="24">
        <v>3</v>
      </c>
      <c r="E42" s="24">
        <v>308004</v>
      </c>
      <c r="F42" s="24">
        <v>1</v>
      </c>
      <c r="G42" s="24">
        <v>80000</v>
      </c>
      <c r="H42" s="24">
        <v>173409</v>
      </c>
      <c r="I42" s="24">
        <v>5268</v>
      </c>
      <c r="J42" s="38">
        <v>3.04E-2</v>
      </c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>
        <v>11</v>
      </c>
      <c r="E44" s="24">
        <v>7811727</v>
      </c>
      <c r="F44" s="24">
        <v>32</v>
      </c>
      <c r="G44" s="24">
        <v>16622540</v>
      </c>
      <c r="H44" s="24">
        <v>20088405</v>
      </c>
      <c r="I44" s="24">
        <v>1766757</v>
      </c>
      <c r="J44" s="38">
        <v>8.7900000000000006E-2</v>
      </c>
    </row>
    <row r="45" spans="1:10" x14ac:dyDescent="0.2">
      <c r="A45" s="35" t="s">
        <v>57</v>
      </c>
      <c r="B45" s="24"/>
      <c r="C45" s="24"/>
      <c r="D45" s="24">
        <v>5</v>
      </c>
      <c r="E45" s="24">
        <v>2616748</v>
      </c>
      <c r="F45" s="24">
        <v>9</v>
      </c>
      <c r="G45" s="24">
        <v>3896389</v>
      </c>
      <c r="H45" s="24">
        <v>4948657</v>
      </c>
      <c r="I45" s="24">
        <v>449192</v>
      </c>
      <c r="J45" s="38">
        <v>9.0800000000000006E-2</v>
      </c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193</v>
      </c>
      <c r="C47" s="25">
        <v>194650000</v>
      </c>
      <c r="D47" s="25">
        <v>146</v>
      </c>
      <c r="E47" s="25">
        <v>131888194</v>
      </c>
      <c r="F47" s="25">
        <v>518</v>
      </c>
      <c r="G47" s="25">
        <v>400482098</v>
      </c>
      <c r="H47" s="25">
        <v>374804244</v>
      </c>
      <c r="I47" s="25">
        <v>32311307</v>
      </c>
      <c r="J47" s="39">
        <v>7.3800000000000004E-2</v>
      </c>
    </row>
    <row r="48" spans="1:10" x14ac:dyDescent="0.2">
      <c r="A48" s="35" t="s">
        <v>58</v>
      </c>
      <c r="B48" s="24">
        <v>1</v>
      </c>
      <c r="C48" s="24">
        <v>300000</v>
      </c>
      <c r="D48" s="24">
        <v>3</v>
      </c>
      <c r="E48" s="24">
        <v>5447225</v>
      </c>
      <c r="F48" s="24">
        <v>15</v>
      </c>
      <c r="G48" s="24">
        <v>17962610</v>
      </c>
      <c r="H48" s="24">
        <v>20169801</v>
      </c>
      <c r="I48" s="24">
        <v>1368933</v>
      </c>
      <c r="J48" s="38">
        <v>6.7900000000000002E-2</v>
      </c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1</v>
      </c>
      <c r="C52" s="25">
        <v>300000</v>
      </c>
      <c r="D52" s="25">
        <v>3</v>
      </c>
      <c r="E52" s="25">
        <v>5447225</v>
      </c>
      <c r="F52" s="25">
        <v>15</v>
      </c>
      <c r="G52" s="25">
        <v>17962610</v>
      </c>
      <c r="H52" s="25">
        <v>20169801</v>
      </c>
      <c r="I52" s="25">
        <v>1368933</v>
      </c>
      <c r="J52" s="39">
        <v>6.7900000000000002E-2</v>
      </c>
    </row>
    <row r="53" spans="1:10" x14ac:dyDescent="0.2">
      <c r="A53" s="35" t="s">
        <v>60</v>
      </c>
      <c r="B53" s="24">
        <v>3</v>
      </c>
      <c r="C53" s="24">
        <v>1800000</v>
      </c>
      <c r="D53" s="24">
        <v>3</v>
      </c>
      <c r="E53" s="24">
        <v>5936819</v>
      </c>
      <c r="F53" s="24">
        <v>19</v>
      </c>
      <c r="G53" s="24">
        <v>25296052</v>
      </c>
      <c r="H53" s="24">
        <v>21788035</v>
      </c>
      <c r="I53" s="24">
        <v>1559982</v>
      </c>
      <c r="J53" s="38">
        <v>7.1599999999999997E-2</v>
      </c>
    </row>
    <row r="54" spans="1:10" x14ac:dyDescent="0.2">
      <c r="A54" s="36" t="s">
        <v>73</v>
      </c>
      <c r="B54" s="25">
        <v>3</v>
      </c>
      <c r="C54" s="25">
        <v>1800000</v>
      </c>
      <c r="D54" s="25">
        <v>3</v>
      </c>
      <c r="E54" s="25">
        <v>5936819</v>
      </c>
      <c r="F54" s="25">
        <v>19</v>
      </c>
      <c r="G54" s="25">
        <v>25296052</v>
      </c>
      <c r="H54" s="25">
        <v>21788035</v>
      </c>
      <c r="I54" s="25">
        <v>1559982</v>
      </c>
      <c r="J54" s="39">
        <v>7.1599999999999997E-2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1166</v>
      </c>
      <c r="C63" s="40">
        <v>1237490000</v>
      </c>
      <c r="D63" s="40">
        <v>1183</v>
      </c>
      <c r="E63" s="40">
        <v>1619164801</v>
      </c>
      <c r="F63" s="40">
        <v>4284</v>
      </c>
      <c r="G63" s="40">
        <v>4638350826</v>
      </c>
      <c r="H63" s="40">
        <v>4695912426</v>
      </c>
      <c r="I63" s="40">
        <v>411951664</v>
      </c>
      <c r="J63" s="41">
        <v>8.7725584855274305E-2</v>
      </c>
    </row>
  </sheetData>
  <phoneticPr fontId="2"/>
  <pageMargins left="0.7" right="0.7" top="0.75" bottom="0.75" header="0.3" footer="0.3"/>
  <pageSetup paperSize="9" scale="74" orientation="portrait" horizontalDpi="0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A3B68-9B68-46BD-96F7-95F5BFA36D57}">
  <sheetPr>
    <pageSetUpPr fitToPage="1"/>
  </sheetPr>
  <dimension ref="A1:J63"/>
  <sheetViews>
    <sheetView workbookViewId="0">
      <selection activeCell="A2" sqref="A2"/>
    </sheetView>
  </sheetViews>
  <sheetFormatPr defaultRowHeight="13" x14ac:dyDescent="0.2"/>
  <cols>
    <col min="1" max="1" width="15.81640625" style="33" customWidth="1"/>
    <col min="2" max="2" width="9.08984375" style="7"/>
    <col min="3" max="3" width="12.08984375" style="7" bestFit="1" customWidth="1"/>
    <col min="4" max="4" width="9.08984375" style="7"/>
    <col min="5" max="5" width="13.7265625" style="7" customWidth="1"/>
    <col min="6" max="6" width="9.08984375" style="7"/>
    <col min="7" max="8" width="13.6328125" style="7" bestFit="1" customWidth="1"/>
    <col min="9" max="9" width="12.08984375" style="7" bestFit="1" customWidth="1"/>
    <col min="10" max="10" width="9.08984375" style="8"/>
  </cols>
  <sheetData>
    <row r="1" spans="1:10" x14ac:dyDescent="0.2">
      <c r="A1" s="33" t="s">
        <v>0</v>
      </c>
      <c r="B1" s="6" t="s">
        <v>177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>
        <v>19</v>
      </c>
      <c r="E7" s="24">
        <v>11923888</v>
      </c>
      <c r="F7" s="24">
        <v>46</v>
      </c>
      <c r="G7" s="24">
        <v>15348750</v>
      </c>
      <c r="H7" s="24">
        <v>20892631</v>
      </c>
      <c r="I7" s="24">
        <v>1995416</v>
      </c>
      <c r="J7" s="38">
        <v>9.5500000000000002E-2</v>
      </c>
    </row>
    <row r="8" spans="1:10" x14ac:dyDescent="0.2">
      <c r="A8" s="35" t="s">
        <v>34</v>
      </c>
      <c r="B8" s="24">
        <v>226</v>
      </c>
      <c r="C8" s="24">
        <v>397980000</v>
      </c>
      <c r="D8" s="24">
        <v>464</v>
      </c>
      <c r="E8" s="24">
        <v>728413694</v>
      </c>
      <c r="F8" s="24">
        <v>1797</v>
      </c>
      <c r="G8" s="24">
        <v>2021986272</v>
      </c>
      <c r="H8" s="24">
        <v>2203423665</v>
      </c>
      <c r="I8" s="24">
        <v>197619533</v>
      </c>
      <c r="J8" s="38">
        <v>8.9700000000000002E-2</v>
      </c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>
        <v>22</v>
      </c>
      <c r="E10" s="24">
        <v>64247033</v>
      </c>
      <c r="F10" s="24">
        <v>165</v>
      </c>
      <c r="G10" s="24">
        <v>235028578</v>
      </c>
      <c r="H10" s="24">
        <v>262720202</v>
      </c>
      <c r="I10" s="24">
        <v>23908803</v>
      </c>
      <c r="J10" s="38">
        <v>9.0999999999999998E-2</v>
      </c>
    </row>
    <row r="11" spans="1:10" x14ac:dyDescent="0.2">
      <c r="A11" s="35" t="s">
        <v>37</v>
      </c>
      <c r="B11" s="24">
        <v>11</v>
      </c>
      <c r="C11" s="24">
        <v>31910000</v>
      </c>
      <c r="D11" s="24">
        <v>97</v>
      </c>
      <c r="E11" s="24">
        <v>134502808</v>
      </c>
      <c r="F11" s="24">
        <v>298</v>
      </c>
      <c r="G11" s="24">
        <v>381163221</v>
      </c>
      <c r="H11" s="24">
        <v>422445343</v>
      </c>
      <c r="I11" s="24">
        <v>36523179</v>
      </c>
      <c r="J11" s="38">
        <v>8.6499999999999994E-2</v>
      </c>
    </row>
    <row r="12" spans="1:10" x14ac:dyDescent="0.2">
      <c r="A12" s="35" t="s">
        <v>38</v>
      </c>
      <c r="B12" s="24">
        <v>309</v>
      </c>
      <c r="C12" s="24">
        <v>127890000</v>
      </c>
      <c r="D12" s="24">
        <v>214</v>
      </c>
      <c r="E12" s="24">
        <v>80915308</v>
      </c>
      <c r="F12" s="24">
        <v>506</v>
      </c>
      <c r="G12" s="24">
        <v>168906161</v>
      </c>
      <c r="H12" s="24">
        <v>147517749</v>
      </c>
      <c r="I12" s="24">
        <v>12145091</v>
      </c>
      <c r="J12" s="38">
        <v>8.2299999999999998E-2</v>
      </c>
    </row>
    <row r="13" spans="1:10" x14ac:dyDescent="0.2">
      <c r="A13" s="35" t="s">
        <v>39</v>
      </c>
      <c r="B13" s="24">
        <v>103</v>
      </c>
      <c r="C13" s="24">
        <v>60270000</v>
      </c>
      <c r="D13" s="24">
        <v>23</v>
      </c>
      <c r="E13" s="24">
        <v>22535766</v>
      </c>
      <c r="F13" s="24">
        <v>153</v>
      </c>
      <c r="G13" s="24">
        <v>74692591</v>
      </c>
      <c r="H13" s="24">
        <v>0</v>
      </c>
      <c r="I13" s="24">
        <v>5093202</v>
      </c>
      <c r="J13" s="38"/>
    </row>
    <row r="14" spans="1:10" x14ac:dyDescent="0.2">
      <c r="A14" s="35" t="s">
        <v>40</v>
      </c>
      <c r="B14" s="24"/>
      <c r="C14" s="24"/>
      <c r="D14" s="24">
        <v>6</v>
      </c>
      <c r="E14" s="24">
        <v>2341322</v>
      </c>
      <c r="F14" s="24">
        <v>8</v>
      </c>
      <c r="G14" s="24">
        <v>2524125</v>
      </c>
      <c r="H14" s="24">
        <v>3547519</v>
      </c>
      <c r="I14" s="24">
        <v>298203</v>
      </c>
      <c r="J14" s="38">
        <v>8.4099999999999994E-2</v>
      </c>
    </row>
    <row r="15" spans="1:10" x14ac:dyDescent="0.2">
      <c r="A15" s="35" t="s">
        <v>41</v>
      </c>
      <c r="B15" s="24"/>
      <c r="C15" s="24"/>
      <c r="D15" s="24"/>
      <c r="E15" s="24">
        <v>205259</v>
      </c>
      <c r="F15" s="24">
        <v>2</v>
      </c>
      <c r="G15" s="24">
        <v>1118056</v>
      </c>
      <c r="H15" s="24">
        <v>1213925</v>
      </c>
      <c r="I15" s="24">
        <v>38281</v>
      </c>
      <c r="J15" s="38">
        <v>3.15E-2</v>
      </c>
    </row>
    <row r="16" spans="1:10" x14ac:dyDescent="0.2">
      <c r="A16" s="35" t="s">
        <v>42</v>
      </c>
      <c r="B16" s="24"/>
      <c r="C16" s="24"/>
      <c r="D16" s="24">
        <v>8</v>
      </c>
      <c r="E16" s="24">
        <v>11573013</v>
      </c>
      <c r="F16" s="24">
        <v>24</v>
      </c>
      <c r="G16" s="24">
        <v>21551968</v>
      </c>
      <c r="H16" s="24">
        <v>26361061</v>
      </c>
      <c r="I16" s="24">
        <v>2337625</v>
      </c>
      <c r="J16" s="38">
        <v>8.8700000000000001E-2</v>
      </c>
    </row>
    <row r="17" spans="1:10" x14ac:dyDescent="0.2">
      <c r="A17" s="36" t="s">
        <v>73</v>
      </c>
      <c r="B17" s="25">
        <v>649</v>
      </c>
      <c r="C17" s="25">
        <v>618050000</v>
      </c>
      <c r="D17" s="25">
        <v>853</v>
      </c>
      <c r="E17" s="25">
        <v>1056658091</v>
      </c>
      <c r="F17" s="25">
        <v>2999</v>
      </c>
      <c r="G17" s="25">
        <v>2922319722</v>
      </c>
      <c r="H17" s="25">
        <v>3088122095</v>
      </c>
      <c r="I17" s="25">
        <v>279959333</v>
      </c>
      <c r="J17" s="39">
        <v>8.1162499999999999E-2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/>
      <c r="C19" s="24"/>
      <c r="D19" s="24"/>
      <c r="E19" s="24">
        <v>21037</v>
      </c>
      <c r="F19" s="24">
        <v>1</v>
      </c>
      <c r="G19" s="24">
        <v>228277</v>
      </c>
      <c r="H19" s="24">
        <v>239208</v>
      </c>
      <c r="I19" s="24">
        <v>8833</v>
      </c>
      <c r="J19" s="38">
        <v>3.6900000000000002E-2</v>
      </c>
    </row>
    <row r="20" spans="1:10" x14ac:dyDescent="0.2">
      <c r="A20" s="35" t="s">
        <v>44</v>
      </c>
      <c r="B20" s="24">
        <v>1</v>
      </c>
      <c r="C20" s="24">
        <v>410000</v>
      </c>
      <c r="D20" s="24">
        <v>1</v>
      </c>
      <c r="E20" s="24">
        <v>186368</v>
      </c>
      <c r="F20" s="24">
        <v>2</v>
      </c>
      <c r="G20" s="24">
        <v>627143</v>
      </c>
      <c r="H20" s="24">
        <v>513955</v>
      </c>
      <c r="I20" s="24">
        <v>48323</v>
      </c>
      <c r="J20" s="38">
        <v>9.4E-2</v>
      </c>
    </row>
    <row r="21" spans="1:10" x14ac:dyDescent="0.2">
      <c r="A21" s="35" t="s">
        <v>45</v>
      </c>
      <c r="B21" s="24">
        <v>11</v>
      </c>
      <c r="C21" s="24">
        <v>16910000</v>
      </c>
      <c r="D21" s="24">
        <v>10</v>
      </c>
      <c r="E21" s="24">
        <v>14663356</v>
      </c>
      <c r="F21" s="24">
        <v>56</v>
      </c>
      <c r="G21" s="24">
        <v>46262844</v>
      </c>
      <c r="H21" s="24">
        <v>43981797</v>
      </c>
      <c r="I21" s="24">
        <v>4190341</v>
      </c>
      <c r="J21" s="38">
        <v>9.5299999999999996E-2</v>
      </c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>
        <v>6</v>
      </c>
      <c r="C23" s="24">
        <v>8170000</v>
      </c>
      <c r="D23" s="24">
        <v>48</v>
      </c>
      <c r="E23" s="24">
        <v>17795996</v>
      </c>
      <c r="F23" s="24">
        <v>65</v>
      </c>
      <c r="G23" s="24">
        <v>42812692</v>
      </c>
      <c r="H23" s="24">
        <v>47568577</v>
      </c>
      <c r="I23" s="24">
        <v>5328042</v>
      </c>
      <c r="J23" s="38">
        <v>0.112</v>
      </c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56</v>
      </c>
      <c r="C25" s="24">
        <v>73350000</v>
      </c>
      <c r="D25" s="24">
        <v>34</v>
      </c>
      <c r="E25" s="24">
        <v>60357385</v>
      </c>
      <c r="F25" s="24">
        <v>261</v>
      </c>
      <c r="G25" s="24">
        <v>197385606</v>
      </c>
      <c r="H25" s="24">
        <v>193363170</v>
      </c>
      <c r="I25" s="24">
        <v>18002403</v>
      </c>
      <c r="J25" s="38">
        <v>9.3100000000000002E-2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74</v>
      </c>
      <c r="C31" s="25">
        <v>98840000</v>
      </c>
      <c r="D31" s="25">
        <v>93</v>
      </c>
      <c r="E31" s="25">
        <v>93024142</v>
      </c>
      <c r="F31" s="25">
        <v>385</v>
      </c>
      <c r="G31" s="25">
        <v>287316562</v>
      </c>
      <c r="H31" s="25">
        <v>285666707</v>
      </c>
      <c r="I31" s="25">
        <v>27577942</v>
      </c>
      <c r="J31" s="39">
        <v>8.6260000000000003E-2</v>
      </c>
    </row>
    <row r="32" spans="1:10" x14ac:dyDescent="0.2">
      <c r="A32" s="35" t="s">
        <v>50</v>
      </c>
      <c r="B32" s="24">
        <v>3</v>
      </c>
      <c r="C32" s="24">
        <v>10550000</v>
      </c>
      <c r="D32" s="24">
        <v>20</v>
      </c>
      <c r="E32" s="24">
        <v>72144182</v>
      </c>
      <c r="F32" s="24">
        <v>102</v>
      </c>
      <c r="G32" s="24">
        <v>474495529</v>
      </c>
      <c r="H32" s="24">
        <v>503164776</v>
      </c>
      <c r="I32" s="24">
        <v>35860544</v>
      </c>
      <c r="J32" s="38">
        <v>7.1300000000000002E-2</v>
      </c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>
        <v>2</v>
      </c>
      <c r="E34" s="24">
        <v>8609634</v>
      </c>
      <c r="F34" s="24">
        <v>1</v>
      </c>
      <c r="G34" s="24">
        <v>2341438</v>
      </c>
      <c r="H34" s="24">
        <v>5969190</v>
      </c>
      <c r="I34" s="24">
        <v>618678</v>
      </c>
      <c r="J34" s="38">
        <v>0.1036</v>
      </c>
    </row>
    <row r="35" spans="1:10" x14ac:dyDescent="0.2">
      <c r="A35" s="35" t="s">
        <v>52</v>
      </c>
      <c r="B35" s="24"/>
      <c r="C35" s="24"/>
      <c r="D35" s="24"/>
      <c r="E35" s="24">
        <v>1640262</v>
      </c>
      <c r="F35" s="24">
        <v>3</v>
      </c>
      <c r="G35" s="24">
        <v>3500504</v>
      </c>
      <c r="H35" s="24">
        <v>4268892</v>
      </c>
      <c r="I35" s="24">
        <v>529014</v>
      </c>
      <c r="J35" s="38">
        <v>0.1239</v>
      </c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3</v>
      </c>
      <c r="C38" s="25">
        <v>10550000</v>
      </c>
      <c r="D38" s="25">
        <v>22</v>
      </c>
      <c r="E38" s="25">
        <v>82394078</v>
      </c>
      <c r="F38" s="25">
        <v>106</v>
      </c>
      <c r="G38" s="25">
        <v>480337471</v>
      </c>
      <c r="H38" s="25">
        <v>513402858</v>
      </c>
      <c r="I38" s="25">
        <v>37008236</v>
      </c>
      <c r="J38" s="39">
        <v>9.9600000000000008E-2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>
        <v>156</v>
      </c>
      <c r="C41" s="24">
        <v>182170000</v>
      </c>
      <c r="D41" s="24">
        <v>132</v>
      </c>
      <c r="E41" s="24">
        <v>139410550</v>
      </c>
      <c r="F41" s="24">
        <v>500</v>
      </c>
      <c r="G41" s="24">
        <v>422642619</v>
      </c>
      <c r="H41" s="24">
        <v>400454263</v>
      </c>
      <c r="I41" s="24">
        <v>35484371</v>
      </c>
      <c r="J41" s="38">
        <v>8.8599999999999998E-2</v>
      </c>
    </row>
    <row r="42" spans="1:10" x14ac:dyDescent="0.2">
      <c r="A42" s="35" t="s">
        <v>54</v>
      </c>
      <c r="B42" s="24"/>
      <c r="C42" s="24"/>
      <c r="D42" s="24"/>
      <c r="E42" s="24">
        <v>48000</v>
      </c>
      <c r="F42" s="24">
        <v>1</v>
      </c>
      <c r="G42" s="24">
        <v>32000</v>
      </c>
      <c r="H42" s="24">
        <v>54000</v>
      </c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>
        <v>11</v>
      </c>
      <c r="E44" s="24">
        <v>6091211</v>
      </c>
      <c r="F44" s="24">
        <v>21</v>
      </c>
      <c r="G44" s="24">
        <v>10531329</v>
      </c>
      <c r="H44" s="24">
        <v>13052844</v>
      </c>
      <c r="I44" s="24">
        <v>1224214</v>
      </c>
      <c r="J44" s="38">
        <v>9.3799999999999994E-2</v>
      </c>
    </row>
    <row r="45" spans="1:10" x14ac:dyDescent="0.2">
      <c r="A45" s="35" t="s">
        <v>57</v>
      </c>
      <c r="B45" s="24"/>
      <c r="C45" s="24"/>
      <c r="D45" s="24">
        <v>4</v>
      </c>
      <c r="E45" s="24">
        <v>1203020</v>
      </c>
      <c r="F45" s="24">
        <v>5</v>
      </c>
      <c r="G45" s="24">
        <v>2693369</v>
      </c>
      <c r="H45" s="24">
        <v>3161194</v>
      </c>
      <c r="I45" s="24">
        <v>266928</v>
      </c>
      <c r="J45" s="38">
        <v>8.4400000000000003E-2</v>
      </c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156</v>
      </c>
      <c r="C47" s="25">
        <v>182170000</v>
      </c>
      <c r="D47" s="25">
        <v>147</v>
      </c>
      <c r="E47" s="25">
        <v>146752781</v>
      </c>
      <c r="F47" s="25">
        <v>527</v>
      </c>
      <c r="G47" s="25">
        <v>435899317</v>
      </c>
      <c r="H47" s="25">
        <v>416722301</v>
      </c>
      <c r="I47" s="25">
        <v>36975513</v>
      </c>
      <c r="J47" s="39">
        <v>8.893333333333335E-2</v>
      </c>
    </row>
    <row r="48" spans="1:10" x14ac:dyDescent="0.2">
      <c r="A48" s="35" t="s">
        <v>58</v>
      </c>
      <c r="B48" s="24"/>
      <c r="C48" s="24"/>
      <c r="D48" s="24">
        <v>2</v>
      </c>
      <c r="E48" s="24">
        <v>4261478</v>
      </c>
      <c r="F48" s="24">
        <v>13</v>
      </c>
      <c r="G48" s="24">
        <v>13701132</v>
      </c>
      <c r="H48" s="24">
        <v>15615386</v>
      </c>
      <c r="I48" s="24">
        <v>1071311</v>
      </c>
      <c r="J48" s="38">
        <v>6.8599999999999994E-2</v>
      </c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0</v>
      </c>
      <c r="C52" s="25">
        <v>0</v>
      </c>
      <c r="D52" s="25">
        <v>2</v>
      </c>
      <c r="E52" s="25">
        <v>4261478</v>
      </c>
      <c r="F52" s="25">
        <v>13</v>
      </c>
      <c r="G52" s="25">
        <v>13701132</v>
      </c>
      <c r="H52" s="25">
        <v>15615386</v>
      </c>
      <c r="I52" s="25">
        <v>1071311</v>
      </c>
      <c r="J52" s="39">
        <v>6.8599999999999994E-2</v>
      </c>
    </row>
    <row r="53" spans="1:10" x14ac:dyDescent="0.2">
      <c r="A53" s="35" t="s">
        <v>60</v>
      </c>
      <c r="B53" s="24">
        <v>1</v>
      </c>
      <c r="C53" s="24">
        <v>992992</v>
      </c>
      <c r="D53" s="24">
        <v>1</v>
      </c>
      <c r="E53" s="24">
        <v>-917997</v>
      </c>
      <c r="F53" s="24">
        <v>19</v>
      </c>
      <c r="G53" s="24">
        <v>27207041</v>
      </c>
      <c r="H53" s="24">
        <v>21788035</v>
      </c>
      <c r="I53" s="24">
        <v>1652295</v>
      </c>
      <c r="J53" s="38">
        <v>7.5800000000000006E-2</v>
      </c>
    </row>
    <row r="54" spans="1:10" x14ac:dyDescent="0.2">
      <c r="A54" s="36" t="s">
        <v>73</v>
      </c>
      <c r="B54" s="25">
        <v>1</v>
      </c>
      <c r="C54" s="25">
        <v>992992</v>
      </c>
      <c r="D54" s="25">
        <v>1</v>
      </c>
      <c r="E54" s="25">
        <v>-917997</v>
      </c>
      <c r="F54" s="25">
        <v>19</v>
      </c>
      <c r="G54" s="25">
        <v>27207041</v>
      </c>
      <c r="H54" s="25">
        <v>21788035</v>
      </c>
      <c r="I54" s="25">
        <v>1652295</v>
      </c>
      <c r="J54" s="39">
        <v>7.5800000000000006E-2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883</v>
      </c>
      <c r="C63" s="40">
        <v>910602992</v>
      </c>
      <c r="D63" s="40">
        <v>1118</v>
      </c>
      <c r="E63" s="40">
        <v>1382172573</v>
      </c>
      <c r="F63" s="40">
        <v>4049</v>
      </c>
      <c r="G63" s="40">
        <v>4166781245</v>
      </c>
      <c r="H63" s="40">
        <v>4341317382</v>
      </c>
      <c r="I63" s="40">
        <v>384244630</v>
      </c>
      <c r="J63" s="41">
        <v>8.8508762707181401E-2</v>
      </c>
    </row>
  </sheetData>
  <phoneticPr fontId="2"/>
  <pageMargins left="0.7" right="0.7" top="0.75" bottom="0.75" header="0.3" footer="0.3"/>
  <pageSetup paperSize="9" scale="76" orientation="portrait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B180D-3972-4DC8-B18D-56515F489C41}">
  <sheetPr>
    <pageSetUpPr fitToPage="1"/>
  </sheetPr>
  <dimension ref="A1:J63"/>
  <sheetViews>
    <sheetView workbookViewId="0">
      <selection activeCell="A2" sqref="A2"/>
    </sheetView>
  </sheetViews>
  <sheetFormatPr defaultRowHeight="13" x14ac:dyDescent="0.2"/>
  <cols>
    <col min="1" max="1" width="15.81640625" style="33" customWidth="1"/>
    <col min="2" max="2" width="9.08984375" style="7"/>
    <col min="3" max="3" width="12.08984375" style="7" bestFit="1" customWidth="1"/>
    <col min="4" max="4" width="9.08984375" style="7"/>
    <col min="5" max="5" width="13.7265625" style="7" customWidth="1"/>
    <col min="6" max="6" width="9.08984375" style="7"/>
    <col min="7" max="8" width="13.6328125" style="7" bestFit="1" customWidth="1"/>
    <col min="9" max="9" width="12.08984375" style="7" bestFit="1" customWidth="1"/>
    <col min="10" max="10" width="9.08984375" style="8"/>
  </cols>
  <sheetData>
    <row r="1" spans="1:10" x14ac:dyDescent="0.2">
      <c r="A1" s="33" t="s">
        <v>0</v>
      </c>
      <c r="B1" s="6" t="s">
        <v>178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>
        <v>16</v>
      </c>
      <c r="E7" s="24">
        <v>6161884</v>
      </c>
      <c r="F7" s="24">
        <v>30</v>
      </c>
      <c r="G7" s="24">
        <v>9186866</v>
      </c>
      <c r="H7" s="24">
        <v>11855479</v>
      </c>
      <c r="I7" s="24">
        <v>1076327</v>
      </c>
      <c r="J7" s="38">
        <v>9.0800000000000006E-2</v>
      </c>
    </row>
    <row r="8" spans="1:10" x14ac:dyDescent="0.2">
      <c r="A8" s="35" t="s">
        <v>34</v>
      </c>
      <c r="B8" s="24">
        <v>177</v>
      </c>
      <c r="C8" s="24">
        <v>268730000</v>
      </c>
      <c r="D8" s="24">
        <v>437</v>
      </c>
      <c r="E8" s="24">
        <v>596397265</v>
      </c>
      <c r="F8" s="24">
        <v>1537</v>
      </c>
      <c r="G8" s="24">
        <v>1694319007</v>
      </c>
      <c r="H8" s="24">
        <v>1806156748</v>
      </c>
      <c r="I8" s="24">
        <v>162063509</v>
      </c>
      <c r="J8" s="38">
        <v>8.9700000000000002E-2</v>
      </c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>
        <v>24</v>
      </c>
      <c r="E10" s="24">
        <v>52246403</v>
      </c>
      <c r="F10" s="24">
        <v>141</v>
      </c>
      <c r="G10" s="24">
        <v>182782175</v>
      </c>
      <c r="H10" s="24">
        <v>205139722</v>
      </c>
      <c r="I10" s="24">
        <v>17864415</v>
      </c>
      <c r="J10" s="38">
        <v>8.7099999999999997E-2</v>
      </c>
    </row>
    <row r="11" spans="1:10" x14ac:dyDescent="0.2">
      <c r="A11" s="35" t="s">
        <v>37</v>
      </c>
      <c r="B11" s="24">
        <v>6</v>
      </c>
      <c r="C11" s="24">
        <v>10920000</v>
      </c>
      <c r="D11" s="24">
        <v>72</v>
      </c>
      <c r="E11" s="24">
        <v>116190776</v>
      </c>
      <c r="F11" s="24">
        <v>232</v>
      </c>
      <c r="G11" s="24">
        <v>275892445</v>
      </c>
      <c r="H11" s="24">
        <v>319667122</v>
      </c>
      <c r="I11" s="24">
        <v>27397702</v>
      </c>
      <c r="J11" s="38">
        <v>8.5699999999999998E-2</v>
      </c>
    </row>
    <row r="12" spans="1:10" x14ac:dyDescent="0.2">
      <c r="A12" s="35" t="s">
        <v>38</v>
      </c>
      <c r="B12" s="24">
        <v>277</v>
      </c>
      <c r="C12" s="24">
        <v>117280000</v>
      </c>
      <c r="D12" s="24">
        <v>230</v>
      </c>
      <c r="E12" s="24">
        <v>90374397</v>
      </c>
      <c r="F12" s="24">
        <v>553</v>
      </c>
      <c r="G12" s="24">
        <v>195811764</v>
      </c>
      <c r="H12" s="24">
        <v>172611419</v>
      </c>
      <c r="I12" s="24">
        <v>14787604</v>
      </c>
      <c r="J12" s="38">
        <v>8.5699999999999998E-2</v>
      </c>
    </row>
    <row r="13" spans="1:10" x14ac:dyDescent="0.2">
      <c r="A13" s="35" t="s">
        <v>39</v>
      </c>
      <c r="B13" s="24">
        <v>15</v>
      </c>
      <c r="C13" s="24">
        <v>10750000</v>
      </c>
      <c r="D13" s="24">
        <v>36</v>
      </c>
      <c r="E13" s="24">
        <v>26732300</v>
      </c>
      <c r="F13" s="24">
        <v>132</v>
      </c>
      <c r="G13" s="24">
        <v>58710291</v>
      </c>
      <c r="H13" s="24"/>
      <c r="I13" s="24">
        <v>5908080</v>
      </c>
      <c r="J13" s="38"/>
    </row>
    <row r="14" spans="1:10" x14ac:dyDescent="0.2">
      <c r="A14" s="35" t="s">
        <v>40</v>
      </c>
      <c r="B14" s="24"/>
      <c r="C14" s="24"/>
      <c r="D14" s="24">
        <v>1</v>
      </c>
      <c r="E14" s="24">
        <v>1076058</v>
      </c>
      <c r="F14" s="24">
        <v>7</v>
      </c>
      <c r="G14" s="24">
        <v>1448067</v>
      </c>
      <c r="H14" s="24">
        <v>1889408</v>
      </c>
      <c r="I14" s="24">
        <v>156721</v>
      </c>
      <c r="J14" s="38">
        <v>8.2900000000000001E-2</v>
      </c>
    </row>
    <row r="15" spans="1:10" x14ac:dyDescent="0.2">
      <c r="A15" s="35" t="s">
        <v>41</v>
      </c>
      <c r="B15" s="24"/>
      <c r="C15" s="24"/>
      <c r="D15" s="24"/>
      <c r="E15" s="24">
        <v>228743</v>
      </c>
      <c r="F15" s="24">
        <v>2</v>
      </c>
      <c r="G15" s="24">
        <v>889313</v>
      </c>
      <c r="H15" s="24">
        <v>996278</v>
      </c>
      <c r="I15" s="24">
        <v>65018</v>
      </c>
      <c r="J15" s="38">
        <v>6.5299999999999997E-2</v>
      </c>
    </row>
    <row r="16" spans="1:10" x14ac:dyDescent="0.2">
      <c r="A16" s="35" t="s">
        <v>42</v>
      </c>
      <c r="B16" s="24"/>
      <c r="C16" s="24"/>
      <c r="D16" s="24">
        <v>11</v>
      </c>
      <c r="E16" s="24">
        <v>8492738</v>
      </c>
      <c r="F16" s="24">
        <v>13</v>
      </c>
      <c r="G16" s="24">
        <v>13059230</v>
      </c>
      <c r="H16" s="24">
        <v>16255280</v>
      </c>
      <c r="I16" s="24">
        <v>1217497</v>
      </c>
      <c r="J16" s="38">
        <v>7.4899999999999994E-2</v>
      </c>
    </row>
    <row r="17" spans="1:10" x14ac:dyDescent="0.2">
      <c r="A17" s="36" t="s">
        <v>73</v>
      </c>
      <c r="B17" s="25">
        <v>475</v>
      </c>
      <c r="C17" s="25">
        <v>407680000</v>
      </c>
      <c r="D17" s="25">
        <v>827</v>
      </c>
      <c r="E17" s="25">
        <v>897900564</v>
      </c>
      <c r="F17" s="25">
        <v>2647</v>
      </c>
      <c r="G17" s="25">
        <v>2432099158</v>
      </c>
      <c r="H17" s="25">
        <v>2534571456</v>
      </c>
      <c r="I17" s="25">
        <v>230536873</v>
      </c>
      <c r="J17" s="39">
        <v>8.2762500000000003E-2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/>
      <c r="C19" s="24"/>
      <c r="D19" s="24"/>
      <c r="E19" s="24">
        <v>44451</v>
      </c>
      <c r="F19" s="24">
        <v>1</v>
      </c>
      <c r="G19" s="24">
        <v>183826</v>
      </c>
      <c r="H19" s="24">
        <v>208064</v>
      </c>
      <c r="I19" s="24">
        <v>15289</v>
      </c>
      <c r="J19" s="38">
        <v>7.3499999999999996E-2</v>
      </c>
    </row>
    <row r="20" spans="1:10" x14ac:dyDescent="0.2">
      <c r="A20" s="35" t="s">
        <v>44</v>
      </c>
      <c r="B20" s="24"/>
      <c r="C20" s="24"/>
      <c r="D20" s="24"/>
      <c r="E20" s="24">
        <v>305436</v>
      </c>
      <c r="F20" s="24">
        <v>2</v>
      </c>
      <c r="G20" s="24">
        <v>321707</v>
      </c>
      <c r="H20" s="24">
        <v>461891</v>
      </c>
      <c r="I20" s="24">
        <v>49018</v>
      </c>
      <c r="J20" s="38">
        <v>0.1061</v>
      </c>
    </row>
    <row r="21" spans="1:10" x14ac:dyDescent="0.2">
      <c r="A21" s="35" t="s">
        <v>45</v>
      </c>
      <c r="B21" s="24">
        <v>4</v>
      </c>
      <c r="C21" s="24">
        <v>5730000</v>
      </c>
      <c r="D21" s="24">
        <v>15</v>
      </c>
      <c r="E21" s="24">
        <v>15091427</v>
      </c>
      <c r="F21" s="24">
        <v>45</v>
      </c>
      <c r="G21" s="24">
        <v>36901417</v>
      </c>
      <c r="H21" s="24">
        <v>40323782</v>
      </c>
      <c r="I21" s="24">
        <v>4051087</v>
      </c>
      <c r="J21" s="38">
        <v>0.10050000000000001</v>
      </c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>
        <v>3</v>
      </c>
      <c r="C23" s="24">
        <v>2520000</v>
      </c>
      <c r="D23" s="24">
        <v>20</v>
      </c>
      <c r="E23" s="24">
        <v>12591096</v>
      </c>
      <c r="F23" s="24">
        <v>48</v>
      </c>
      <c r="G23" s="24">
        <v>32741596</v>
      </c>
      <c r="H23" s="24">
        <v>37764702</v>
      </c>
      <c r="I23" s="24">
        <v>4046383</v>
      </c>
      <c r="J23" s="38">
        <v>0.1071</v>
      </c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41</v>
      </c>
      <c r="C25" s="24">
        <v>58140000</v>
      </c>
      <c r="D25" s="24">
        <v>57</v>
      </c>
      <c r="E25" s="24">
        <v>63518757</v>
      </c>
      <c r="F25" s="24">
        <v>245</v>
      </c>
      <c r="G25" s="24">
        <v>192006849</v>
      </c>
      <c r="H25" s="24">
        <v>193768264</v>
      </c>
      <c r="I25" s="24">
        <v>18438570</v>
      </c>
      <c r="J25" s="38">
        <v>9.5200000000000007E-2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48</v>
      </c>
      <c r="C31" s="25">
        <v>66390000</v>
      </c>
      <c r="D31" s="25">
        <v>92</v>
      </c>
      <c r="E31" s="25">
        <v>91551167</v>
      </c>
      <c r="F31" s="25">
        <v>341</v>
      </c>
      <c r="G31" s="25">
        <v>262155395</v>
      </c>
      <c r="H31" s="25">
        <v>272526703</v>
      </c>
      <c r="I31" s="25">
        <v>26600347</v>
      </c>
      <c r="J31" s="39">
        <v>9.6479999999999996E-2</v>
      </c>
    </row>
    <row r="32" spans="1:10" x14ac:dyDescent="0.2">
      <c r="A32" s="35" t="s">
        <v>50</v>
      </c>
      <c r="B32" s="24">
        <v>3</v>
      </c>
      <c r="C32" s="24">
        <v>20150000</v>
      </c>
      <c r="D32" s="24">
        <v>10</v>
      </c>
      <c r="E32" s="24">
        <v>60520129</v>
      </c>
      <c r="F32" s="24">
        <v>95</v>
      </c>
      <c r="G32" s="24">
        <v>434125400</v>
      </c>
      <c r="H32" s="24">
        <v>448141331</v>
      </c>
      <c r="I32" s="24">
        <v>30324102</v>
      </c>
      <c r="J32" s="38">
        <v>6.7699999999999996E-2</v>
      </c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>
        <v>1</v>
      </c>
      <c r="E34" s="24">
        <v>2341438</v>
      </c>
      <c r="F34" s="24"/>
      <c r="G34" s="24"/>
      <c r="H34" s="24">
        <v>541990</v>
      </c>
      <c r="I34" s="24">
        <v>111806</v>
      </c>
      <c r="J34" s="38">
        <v>0.20630000000000001</v>
      </c>
    </row>
    <row r="35" spans="1:10" x14ac:dyDescent="0.2">
      <c r="A35" s="35" t="s">
        <v>52</v>
      </c>
      <c r="B35" s="24"/>
      <c r="C35" s="24"/>
      <c r="D35" s="24">
        <v>1</v>
      </c>
      <c r="E35" s="24">
        <v>1592591</v>
      </c>
      <c r="F35" s="24">
        <v>2</v>
      </c>
      <c r="G35" s="24">
        <v>1907913</v>
      </c>
      <c r="H35" s="24">
        <v>2480494</v>
      </c>
      <c r="I35" s="24">
        <v>307160</v>
      </c>
      <c r="J35" s="38">
        <v>0.12379999999999999</v>
      </c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3</v>
      </c>
      <c r="C38" s="25">
        <v>20150000</v>
      </c>
      <c r="D38" s="25">
        <v>12</v>
      </c>
      <c r="E38" s="25">
        <v>64454158</v>
      </c>
      <c r="F38" s="25">
        <v>97</v>
      </c>
      <c r="G38" s="25">
        <v>436033313</v>
      </c>
      <c r="H38" s="25">
        <v>451163815</v>
      </c>
      <c r="I38" s="25">
        <v>30743068</v>
      </c>
      <c r="J38" s="39">
        <v>0.13260000000000002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>
        <v>117</v>
      </c>
      <c r="C41" s="24">
        <v>152690000</v>
      </c>
      <c r="D41" s="24">
        <v>135</v>
      </c>
      <c r="E41" s="24">
        <v>148151589</v>
      </c>
      <c r="F41" s="24">
        <v>482</v>
      </c>
      <c r="G41" s="24">
        <v>427181030</v>
      </c>
      <c r="H41" s="24">
        <v>421017245</v>
      </c>
      <c r="I41" s="24">
        <v>38049330</v>
      </c>
      <c r="J41" s="38">
        <v>9.0399999999999994E-2</v>
      </c>
    </row>
    <row r="42" spans="1:10" x14ac:dyDescent="0.2">
      <c r="A42" s="35" t="s">
        <v>54</v>
      </c>
      <c r="B42" s="24"/>
      <c r="C42" s="24"/>
      <c r="D42" s="24">
        <v>1</v>
      </c>
      <c r="E42" s="24">
        <v>32000</v>
      </c>
      <c r="F42" s="24"/>
      <c r="G42" s="24"/>
      <c r="H42" s="24">
        <v>9333</v>
      </c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>
        <v>4</v>
      </c>
      <c r="E44" s="24">
        <v>2722081</v>
      </c>
      <c r="F44" s="24">
        <v>17</v>
      </c>
      <c r="G44" s="24">
        <v>7809248</v>
      </c>
      <c r="H44" s="24">
        <v>8929986</v>
      </c>
      <c r="I44" s="24">
        <v>860658</v>
      </c>
      <c r="J44" s="38">
        <v>9.64E-2</v>
      </c>
    </row>
    <row r="45" spans="1:10" x14ac:dyDescent="0.2">
      <c r="A45" s="35" t="s">
        <v>57</v>
      </c>
      <c r="B45" s="24"/>
      <c r="C45" s="24"/>
      <c r="D45" s="24">
        <v>2</v>
      </c>
      <c r="E45" s="24">
        <v>1865830</v>
      </c>
      <c r="F45" s="24">
        <v>3</v>
      </c>
      <c r="G45" s="24">
        <v>827539</v>
      </c>
      <c r="H45" s="24">
        <v>1905239</v>
      </c>
      <c r="I45" s="24">
        <v>214793</v>
      </c>
      <c r="J45" s="38">
        <v>0.11269999999999999</v>
      </c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117</v>
      </c>
      <c r="C47" s="25">
        <v>152690000</v>
      </c>
      <c r="D47" s="25">
        <v>142</v>
      </c>
      <c r="E47" s="25">
        <v>152771500</v>
      </c>
      <c r="F47" s="25">
        <v>502</v>
      </c>
      <c r="G47" s="25">
        <v>435817817</v>
      </c>
      <c r="H47" s="25">
        <v>431861803</v>
      </c>
      <c r="I47" s="25">
        <v>39124781</v>
      </c>
      <c r="J47" s="39">
        <v>9.9833333333333329E-2</v>
      </c>
    </row>
    <row r="48" spans="1:10" x14ac:dyDescent="0.2">
      <c r="A48" s="35" t="s">
        <v>58</v>
      </c>
      <c r="B48" s="24">
        <v>2</v>
      </c>
      <c r="C48" s="24">
        <v>3030000</v>
      </c>
      <c r="D48" s="24">
        <v>4</v>
      </c>
      <c r="E48" s="24">
        <v>6000809</v>
      </c>
      <c r="F48" s="24">
        <v>11</v>
      </c>
      <c r="G48" s="24">
        <v>10730323</v>
      </c>
      <c r="H48" s="24">
        <v>12120428</v>
      </c>
      <c r="I48" s="24">
        <v>842086</v>
      </c>
      <c r="J48" s="38">
        <v>6.9500000000000006E-2</v>
      </c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2</v>
      </c>
      <c r="C52" s="25">
        <v>3030000</v>
      </c>
      <c r="D52" s="25">
        <v>4</v>
      </c>
      <c r="E52" s="25">
        <v>6000809</v>
      </c>
      <c r="F52" s="25">
        <v>11</v>
      </c>
      <c r="G52" s="25">
        <v>10730323</v>
      </c>
      <c r="H52" s="25">
        <v>12120428</v>
      </c>
      <c r="I52" s="25">
        <v>842086</v>
      </c>
      <c r="J52" s="39">
        <v>6.9500000000000006E-2</v>
      </c>
    </row>
    <row r="53" spans="1:10" x14ac:dyDescent="0.2">
      <c r="A53" s="35" t="s">
        <v>60</v>
      </c>
      <c r="B53" s="24">
        <v>2</v>
      </c>
      <c r="C53" s="24">
        <v>4370000</v>
      </c>
      <c r="D53" s="24">
        <v>1</v>
      </c>
      <c r="E53" s="24">
        <v>6959213</v>
      </c>
      <c r="F53" s="24">
        <v>20</v>
      </c>
      <c r="G53" s="24">
        <v>24617828</v>
      </c>
      <c r="H53" s="24">
        <v>21788035</v>
      </c>
      <c r="I53" s="24">
        <v>1980362</v>
      </c>
      <c r="J53" s="38">
        <v>9.0899999999999995E-2</v>
      </c>
    </row>
    <row r="54" spans="1:10" x14ac:dyDescent="0.2">
      <c r="A54" s="36" t="s">
        <v>73</v>
      </c>
      <c r="B54" s="25">
        <v>2</v>
      </c>
      <c r="C54" s="25">
        <v>4370000</v>
      </c>
      <c r="D54" s="25">
        <v>1</v>
      </c>
      <c r="E54" s="25">
        <v>6959213</v>
      </c>
      <c r="F54" s="25">
        <v>20</v>
      </c>
      <c r="G54" s="25">
        <v>24617828</v>
      </c>
      <c r="H54" s="25">
        <v>21788035</v>
      </c>
      <c r="I54" s="25">
        <v>1980362</v>
      </c>
      <c r="J54" s="39">
        <v>9.0899999999999995E-2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647</v>
      </c>
      <c r="C63" s="40">
        <v>654310000</v>
      </c>
      <c r="D63" s="40">
        <v>1078</v>
      </c>
      <c r="E63" s="40">
        <v>1219637411</v>
      </c>
      <c r="F63" s="40">
        <v>3618</v>
      </c>
      <c r="G63" s="40">
        <v>3601453834</v>
      </c>
      <c r="H63" s="40">
        <v>3724032240</v>
      </c>
      <c r="I63" s="40">
        <v>329827517</v>
      </c>
      <c r="J63" s="41">
        <v>8.85673097717328E-2</v>
      </c>
    </row>
  </sheetData>
  <phoneticPr fontId="2"/>
  <pageMargins left="0.7" right="0.7" top="0.75" bottom="0.75" header="0.3" footer="0.3"/>
  <pageSetup paperSize="9" scale="76" orientation="portrait" horizontalDpi="0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0C16-969B-4E2F-80EF-DFD84900FE63}">
  <sheetPr>
    <pageSetUpPr fitToPage="1"/>
  </sheetPr>
  <dimension ref="A1:J63"/>
  <sheetViews>
    <sheetView workbookViewId="0">
      <selection activeCell="A3" sqref="A3"/>
    </sheetView>
  </sheetViews>
  <sheetFormatPr defaultRowHeight="13" x14ac:dyDescent="0.2"/>
  <cols>
    <col min="1" max="1" width="15.81640625" style="33" customWidth="1"/>
    <col min="2" max="2" width="9.08984375" style="7"/>
    <col min="3" max="3" width="12.08984375" style="7" bestFit="1" customWidth="1"/>
    <col min="4" max="4" width="9.08984375" style="7"/>
    <col min="5" max="5" width="13.6328125" style="7" customWidth="1"/>
    <col min="6" max="6" width="9.08984375" style="7"/>
    <col min="7" max="8" width="13.6328125" style="7" bestFit="1" customWidth="1"/>
    <col min="9" max="9" width="12.08984375" style="7" bestFit="1" customWidth="1"/>
    <col min="10" max="10" width="9.08984375" style="8"/>
  </cols>
  <sheetData>
    <row r="1" spans="1:10" x14ac:dyDescent="0.2">
      <c r="A1" s="33" t="s">
        <v>0</v>
      </c>
      <c r="B1" s="6" t="s">
        <v>179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>
        <v>12</v>
      </c>
      <c r="E7" s="24">
        <v>4067658</v>
      </c>
      <c r="F7" s="24">
        <v>18</v>
      </c>
      <c r="G7" s="24">
        <v>5119208</v>
      </c>
      <c r="H7" s="24">
        <v>7017052</v>
      </c>
      <c r="I7" s="24">
        <v>585152</v>
      </c>
      <c r="J7" s="38">
        <v>8.3400000000000002E-2</v>
      </c>
    </row>
    <row r="8" spans="1:10" x14ac:dyDescent="0.2">
      <c r="A8" s="35" t="s">
        <v>34</v>
      </c>
      <c r="B8" s="24">
        <v>169</v>
      </c>
      <c r="C8" s="24">
        <v>280710000</v>
      </c>
      <c r="D8" s="24">
        <v>322</v>
      </c>
      <c r="E8" s="24">
        <v>491525527</v>
      </c>
      <c r="F8" s="24">
        <v>1384</v>
      </c>
      <c r="G8" s="24">
        <v>1483503480</v>
      </c>
      <c r="H8" s="24">
        <v>1569304585</v>
      </c>
      <c r="I8" s="24">
        <v>138556713</v>
      </c>
      <c r="J8" s="38">
        <v>8.8300000000000003E-2</v>
      </c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>
        <v>24</v>
      </c>
      <c r="E10" s="24">
        <v>51865175</v>
      </c>
      <c r="F10" s="24">
        <v>117</v>
      </c>
      <c r="G10" s="24">
        <v>130917000</v>
      </c>
      <c r="H10" s="24">
        <v>155180426</v>
      </c>
      <c r="I10" s="24">
        <v>13552934</v>
      </c>
      <c r="J10" s="38">
        <v>8.7300000000000003E-2</v>
      </c>
    </row>
    <row r="11" spans="1:10" x14ac:dyDescent="0.2">
      <c r="A11" s="35" t="s">
        <v>37</v>
      </c>
      <c r="B11" s="24">
        <v>25</v>
      </c>
      <c r="C11" s="24">
        <v>49410000</v>
      </c>
      <c r="D11" s="24">
        <v>69</v>
      </c>
      <c r="E11" s="24">
        <v>89409431</v>
      </c>
      <c r="F11" s="24">
        <v>188</v>
      </c>
      <c r="G11" s="24">
        <v>235893014</v>
      </c>
      <c r="H11" s="24">
        <v>265655295</v>
      </c>
      <c r="I11" s="24">
        <v>22296974</v>
      </c>
      <c r="J11" s="38">
        <v>8.3900000000000002E-2</v>
      </c>
    </row>
    <row r="12" spans="1:10" x14ac:dyDescent="0.2">
      <c r="A12" s="35" t="s">
        <v>38</v>
      </c>
      <c r="B12" s="24">
        <v>282</v>
      </c>
      <c r="C12" s="24">
        <v>123370000</v>
      </c>
      <c r="D12" s="24">
        <v>241</v>
      </c>
      <c r="E12" s="24">
        <v>106131308</v>
      </c>
      <c r="F12" s="24">
        <v>594</v>
      </c>
      <c r="G12" s="24">
        <v>213050456</v>
      </c>
      <c r="H12" s="24">
        <v>207485498</v>
      </c>
      <c r="I12" s="24">
        <v>17654821</v>
      </c>
      <c r="J12" s="38">
        <v>8.5099999999999995E-2</v>
      </c>
    </row>
    <row r="13" spans="1:10" x14ac:dyDescent="0.2">
      <c r="A13" s="35" t="s">
        <v>39</v>
      </c>
      <c r="B13" s="24">
        <v>34</v>
      </c>
      <c r="C13" s="24">
        <v>22570000</v>
      </c>
      <c r="D13" s="24">
        <v>29</v>
      </c>
      <c r="E13" s="24">
        <v>25417917</v>
      </c>
      <c r="F13" s="24">
        <v>137</v>
      </c>
      <c r="G13" s="24">
        <v>55862374</v>
      </c>
      <c r="H13" s="24">
        <v>0</v>
      </c>
      <c r="I13" s="24">
        <v>4886573</v>
      </c>
      <c r="J13" s="38"/>
    </row>
    <row r="14" spans="1:10" x14ac:dyDescent="0.2">
      <c r="A14" s="35" t="s">
        <v>40</v>
      </c>
      <c r="B14" s="24"/>
      <c r="C14" s="24"/>
      <c r="D14" s="24">
        <v>1</v>
      </c>
      <c r="E14" s="24">
        <v>806725</v>
      </c>
      <c r="F14" s="24">
        <v>6</v>
      </c>
      <c r="G14" s="24">
        <v>641342</v>
      </c>
      <c r="H14" s="24">
        <v>992781</v>
      </c>
      <c r="I14" s="24">
        <v>71230</v>
      </c>
      <c r="J14" s="38">
        <v>7.17E-2</v>
      </c>
    </row>
    <row r="15" spans="1:10" x14ac:dyDescent="0.2">
      <c r="A15" s="35" t="s">
        <v>41</v>
      </c>
      <c r="B15" s="24"/>
      <c r="C15" s="24"/>
      <c r="D15" s="24">
        <v>1</v>
      </c>
      <c r="E15" s="24">
        <v>29504</v>
      </c>
      <c r="F15" s="24">
        <v>1</v>
      </c>
      <c r="G15" s="24">
        <v>859809</v>
      </c>
      <c r="H15" s="24">
        <v>867687</v>
      </c>
      <c r="I15" s="24">
        <v>79608</v>
      </c>
      <c r="J15" s="38">
        <v>9.1700000000000004E-2</v>
      </c>
    </row>
    <row r="16" spans="1:10" x14ac:dyDescent="0.2">
      <c r="A16" s="35" t="s">
        <v>42</v>
      </c>
      <c r="B16" s="24"/>
      <c r="C16" s="24"/>
      <c r="D16" s="24">
        <v>7</v>
      </c>
      <c r="E16" s="24">
        <v>3585490</v>
      </c>
      <c r="F16" s="24">
        <v>6</v>
      </c>
      <c r="G16" s="24">
        <v>9473740</v>
      </c>
      <c r="H16" s="24">
        <v>11273489</v>
      </c>
      <c r="I16" s="24">
        <v>710768</v>
      </c>
      <c r="J16" s="38">
        <v>6.3E-2</v>
      </c>
    </row>
    <row r="17" spans="1:10" x14ac:dyDescent="0.2">
      <c r="A17" s="36" t="s">
        <v>73</v>
      </c>
      <c r="B17" s="25">
        <v>510</v>
      </c>
      <c r="C17" s="25">
        <v>476060000</v>
      </c>
      <c r="D17" s="25">
        <v>706</v>
      </c>
      <c r="E17" s="25">
        <v>772838735</v>
      </c>
      <c r="F17" s="25">
        <v>2451</v>
      </c>
      <c r="G17" s="25">
        <v>2135320423</v>
      </c>
      <c r="H17" s="25">
        <v>2217776813</v>
      </c>
      <c r="I17" s="25">
        <v>198394773</v>
      </c>
      <c r="J17" s="39">
        <v>8.1799999999999984E-2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/>
      <c r="C19" s="24"/>
      <c r="D19" s="24"/>
      <c r="E19" s="24">
        <v>83437</v>
      </c>
      <c r="F19" s="24">
        <v>1</v>
      </c>
      <c r="G19" s="24">
        <v>100389</v>
      </c>
      <c r="H19" s="24">
        <v>129876</v>
      </c>
      <c r="I19" s="24">
        <v>18121</v>
      </c>
      <c r="J19" s="38">
        <v>0.13950000000000001</v>
      </c>
    </row>
    <row r="20" spans="1:10" x14ac:dyDescent="0.2">
      <c r="A20" s="35" t="s">
        <v>44</v>
      </c>
      <c r="B20" s="24"/>
      <c r="C20" s="24"/>
      <c r="D20" s="24">
        <v>1</v>
      </c>
      <c r="E20" s="24">
        <v>260183</v>
      </c>
      <c r="F20" s="24">
        <v>1</v>
      </c>
      <c r="G20" s="24">
        <v>61524</v>
      </c>
      <c r="H20" s="24">
        <v>158286</v>
      </c>
      <c r="I20" s="24">
        <v>18803</v>
      </c>
      <c r="J20" s="38">
        <v>0.1188</v>
      </c>
    </row>
    <row r="21" spans="1:10" x14ac:dyDescent="0.2">
      <c r="A21" s="35" t="s">
        <v>45</v>
      </c>
      <c r="B21" s="24">
        <v>4</v>
      </c>
      <c r="C21" s="24">
        <v>4200000</v>
      </c>
      <c r="D21" s="24">
        <v>13</v>
      </c>
      <c r="E21" s="24">
        <v>12098096</v>
      </c>
      <c r="F21" s="24">
        <v>36</v>
      </c>
      <c r="G21" s="24">
        <v>29003321</v>
      </c>
      <c r="H21" s="24">
        <v>34314447</v>
      </c>
      <c r="I21" s="24">
        <v>3390898</v>
      </c>
      <c r="J21" s="38">
        <v>9.8799999999999999E-2</v>
      </c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>
        <v>16</v>
      </c>
      <c r="C23" s="24">
        <v>25750000</v>
      </c>
      <c r="D23" s="24">
        <v>16</v>
      </c>
      <c r="E23" s="24">
        <v>10186176</v>
      </c>
      <c r="F23" s="24">
        <v>48</v>
      </c>
      <c r="G23" s="24">
        <v>48305420</v>
      </c>
      <c r="H23" s="24">
        <v>41083967</v>
      </c>
      <c r="I23" s="24">
        <v>4058508</v>
      </c>
      <c r="J23" s="38">
        <v>9.8799999999999999E-2</v>
      </c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35</v>
      </c>
      <c r="C25" s="24">
        <v>54650000</v>
      </c>
      <c r="D25" s="24">
        <v>56</v>
      </c>
      <c r="E25" s="24">
        <v>63650292</v>
      </c>
      <c r="F25" s="24">
        <v>224</v>
      </c>
      <c r="G25" s="24">
        <v>183006557</v>
      </c>
      <c r="H25" s="24">
        <v>193504513</v>
      </c>
      <c r="I25" s="24">
        <v>18692820</v>
      </c>
      <c r="J25" s="38">
        <v>9.6600000000000005E-2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55</v>
      </c>
      <c r="C31" s="25">
        <v>84600000</v>
      </c>
      <c r="D31" s="25">
        <v>86</v>
      </c>
      <c r="E31" s="25">
        <v>86278184</v>
      </c>
      <c r="F31" s="25">
        <v>310</v>
      </c>
      <c r="G31" s="25">
        <v>260477211</v>
      </c>
      <c r="H31" s="25">
        <v>269191089</v>
      </c>
      <c r="I31" s="25">
        <v>26179150</v>
      </c>
      <c r="J31" s="39">
        <v>0.1105</v>
      </c>
    </row>
    <row r="32" spans="1:10" x14ac:dyDescent="0.2">
      <c r="A32" s="35" t="s">
        <v>50</v>
      </c>
      <c r="B32" s="24">
        <v>9</v>
      </c>
      <c r="C32" s="24">
        <v>54800000</v>
      </c>
      <c r="D32" s="24">
        <v>10</v>
      </c>
      <c r="E32" s="24">
        <v>85453008</v>
      </c>
      <c r="F32" s="24">
        <v>94</v>
      </c>
      <c r="G32" s="24">
        <v>403472392</v>
      </c>
      <c r="H32" s="24">
        <v>414001078</v>
      </c>
      <c r="I32" s="24">
        <v>31942710</v>
      </c>
      <c r="J32" s="38">
        <v>7.7200000000000005E-2</v>
      </c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>
        <v>789932</v>
      </c>
      <c r="F34" s="24">
        <v>2</v>
      </c>
      <c r="G34" s="24">
        <v>1117981</v>
      </c>
      <c r="H34" s="24">
        <v>1458057</v>
      </c>
      <c r="I34" s="24">
        <v>159496</v>
      </c>
      <c r="J34" s="38">
        <v>0.1094</v>
      </c>
    </row>
    <row r="35" spans="1:10" x14ac:dyDescent="0.2">
      <c r="A35" s="35" t="s">
        <v>52</v>
      </c>
      <c r="B35" s="24"/>
      <c r="C35" s="24"/>
      <c r="D35" s="24"/>
      <c r="E35" s="24"/>
      <c r="F35" s="24"/>
      <c r="G35" s="24"/>
      <c r="H35" s="24"/>
      <c r="I35" s="24"/>
      <c r="J35" s="38"/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9</v>
      </c>
      <c r="C38" s="25">
        <v>54800000</v>
      </c>
      <c r="D38" s="25">
        <v>10</v>
      </c>
      <c r="E38" s="25">
        <v>86242940</v>
      </c>
      <c r="F38" s="25">
        <v>96</v>
      </c>
      <c r="G38" s="25">
        <v>404590373</v>
      </c>
      <c r="H38" s="25">
        <v>415459135</v>
      </c>
      <c r="I38" s="25">
        <v>32102206</v>
      </c>
      <c r="J38" s="39">
        <v>9.3299999999999994E-2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>
        <v>131</v>
      </c>
      <c r="C41" s="24">
        <v>133930000</v>
      </c>
      <c r="D41" s="24">
        <v>164</v>
      </c>
      <c r="E41" s="24">
        <v>147795887</v>
      </c>
      <c r="F41" s="24">
        <v>449</v>
      </c>
      <c r="G41" s="24">
        <v>413315143</v>
      </c>
      <c r="H41" s="24">
        <v>423936764</v>
      </c>
      <c r="I41" s="24">
        <v>38268542</v>
      </c>
      <c r="J41" s="38">
        <v>9.0300000000000005E-2</v>
      </c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>
        <v>6</v>
      </c>
      <c r="E44" s="24">
        <v>1752416</v>
      </c>
      <c r="F44" s="24">
        <v>11</v>
      </c>
      <c r="G44" s="24">
        <v>6056832</v>
      </c>
      <c r="H44" s="24">
        <v>6819633</v>
      </c>
      <c r="I44" s="24">
        <v>640206</v>
      </c>
      <c r="J44" s="38">
        <v>9.3899999999999997E-2</v>
      </c>
    </row>
    <row r="45" spans="1:10" x14ac:dyDescent="0.2">
      <c r="A45" s="35" t="s">
        <v>57</v>
      </c>
      <c r="B45" s="24"/>
      <c r="C45" s="24"/>
      <c r="D45" s="24">
        <v>1</v>
      </c>
      <c r="E45" s="24">
        <v>500514</v>
      </c>
      <c r="F45" s="24">
        <v>2</v>
      </c>
      <c r="G45" s="24">
        <v>327025</v>
      </c>
      <c r="H45" s="24">
        <v>548794</v>
      </c>
      <c r="I45" s="24">
        <v>53648</v>
      </c>
      <c r="J45" s="38">
        <v>9.7799999999999998E-2</v>
      </c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131</v>
      </c>
      <c r="C47" s="25">
        <v>133930000</v>
      </c>
      <c r="D47" s="25">
        <v>171</v>
      </c>
      <c r="E47" s="25">
        <v>150048817</v>
      </c>
      <c r="F47" s="25">
        <v>462</v>
      </c>
      <c r="G47" s="25">
        <v>419699000</v>
      </c>
      <c r="H47" s="25">
        <v>431305191</v>
      </c>
      <c r="I47" s="25">
        <v>38962396</v>
      </c>
      <c r="J47" s="39">
        <v>9.4000000000000014E-2</v>
      </c>
    </row>
    <row r="48" spans="1:10" x14ac:dyDescent="0.2">
      <c r="A48" s="35" t="s">
        <v>58</v>
      </c>
      <c r="B48" s="24">
        <v>3</v>
      </c>
      <c r="C48" s="24">
        <v>3270000</v>
      </c>
      <c r="D48" s="24">
        <v>4</v>
      </c>
      <c r="E48" s="24">
        <v>5982804</v>
      </c>
      <c r="F48" s="24">
        <v>10</v>
      </c>
      <c r="G48" s="24">
        <v>8017519</v>
      </c>
      <c r="H48" s="24">
        <v>9841154</v>
      </c>
      <c r="I48" s="24">
        <v>547958</v>
      </c>
      <c r="J48" s="38">
        <v>5.57E-2</v>
      </c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3</v>
      </c>
      <c r="C52" s="25">
        <v>3270000</v>
      </c>
      <c r="D52" s="25">
        <v>4</v>
      </c>
      <c r="E52" s="25">
        <v>5982804</v>
      </c>
      <c r="F52" s="25">
        <v>10</v>
      </c>
      <c r="G52" s="25">
        <v>8017519</v>
      </c>
      <c r="H52" s="25">
        <v>9841154</v>
      </c>
      <c r="I52" s="25">
        <v>547958</v>
      </c>
      <c r="J52" s="39">
        <v>5.57E-2</v>
      </c>
    </row>
    <row r="53" spans="1:10" x14ac:dyDescent="0.2">
      <c r="A53" s="35" t="s">
        <v>60</v>
      </c>
      <c r="B53" s="24"/>
      <c r="C53" s="24"/>
      <c r="D53" s="24">
        <v>-1</v>
      </c>
      <c r="E53" s="24">
        <v>176387</v>
      </c>
      <c r="F53" s="24">
        <v>21</v>
      </c>
      <c r="G53" s="24">
        <v>24441441</v>
      </c>
      <c r="H53" s="24">
        <v>21788035</v>
      </c>
      <c r="I53" s="24">
        <v>1593658</v>
      </c>
      <c r="J53" s="38">
        <v>7.3099999999999998E-2</v>
      </c>
    </row>
    <row r="54" spans="1:10" x14ac:dyDescent="0.2">
      <c r="A54" s="36" t="s">
        <v>73</v>
      </c>
      <c r="B54" s="25">
        <v>0</v>
      </c>
      <c r="C54" s="25">
        <v>0</v>
      </c>
      <c r="D54" s="25">
        <v>-1</v>
      </c>
      <c r="E54" s="25">
        <v>176387</v>
      </c>
      <c r="F54" s="25">
        <v>21</v>
      </c>
      <c r="G54" s="25">
        <v>24441441</v>
      </c>
      <c r="H54" s="25">
        <v>21788035</v>
      </c>
      <c r="I54" s="25">
        <v>1593658</v>
      </c>
      <c r="J54" s="39">
        <v>7.3099999999999998E-2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708</v>
      </c>
      <c r="C63" s="40">
        <v>752660000</v>
      </c>
      <c r="D63" s="40">
        <v>976</v>
      </c>
      <c r="E63" s="40">
        <v>1101567867</v>
      </c>
      <c r="F63" s="40">
        <v>3350</v>
      </c>
      <c r="G63" s="40">
        <v>3252545967</v>
      </c>
      <c r="H63" s="40">
        <v>3365361417</v>
      </c>
      <c r="I63" s="40">
        <v>297780141</v>
      </c>
      <c r="J63" s="41">
        <v>8.8483851837064073E-2</v>
      </c>
    </row>
  </sheetData>
  <phoneticPr fontId="2"/>
  <pageMargins left="0.7" right="0.7" top="0.75" bottom="0.75" header="0.3" footer="0.3"/>
  <pageSetup paperSize="9" scale="76" orientation="portrait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26FB2-8DC4-42FE-A0BC-141B8D9F05E0}">
  <sheetPr>
    <pageSetUpPr fitToPage="1"/>
  </sheetPr>
  <dimension ref="A1:J63"/>
  <sheetViews>
    <sheetView workbookViewId="0"/>
  </sheetViews>
  <sheetFormatPr defaultRowHeight="13" x14ac:dyDescent="0.2"/>
  <cols>
    <col min="1" max="1" width="15.81640625" style="33" customWidth="1"/>
    <col min="2" max="2" width="9.08984375" style="7"/>
    <col min="3" max="3" width="12.08984375" style="7" bestFit="1" customWidth="1"/>
    <col min="4" max="4" width="9.08984375" style="7"/>
    <col min="5" max="5" width="13.6328125" style="7" customWidth="1"/>
    <col min="6" max="6" width="9.08984375" style="7"/>
    <col min="7" max="8" width="13.6328125" style="7" bestFit="1" customWidth="1"/>
    <col min="9" max="9" width="12.08984375" style="7" bestFit="1" customWidth="1"/>
    <col min="10" max="10" width="9.08984375" style="8"/>
  </cols>
  <sheetData>
    <row r="1" spans="1:10" x14ac:dyDescent="0.2">
      <c r="A1" s="33" t="s">
        <v>0</v>
      </c>
      <c r="B1" s="6" t="s">
        <v>180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>
        <v>7</v>
      </c>
      <c r="E7" s="24">
        <v>2458739</v>
      </c>
      <c r="F7" s="24">
        <v>11</v>
      </c>
      <c r="G7" s="24">
        <v>2660469</v>
      </c>
      <c r="H7" s="24">
        <v>3708039</v>
      </c>
      <c r="I7" s="24">
        <v>351763</v>
      </c>
      <c r="J7" s="38">
        <v>9.4899999999999998E-2</v>
      </c>
    </row>
    <row r="8" spans="1:10" x14ac:dyDescent="0.2">
      <c r="A8" s="35" t="s">
        <v>34</v>
      </c>
      <c r="B8" s="24">
        <v>165</v>
      </c>
      <c r="C8" s="24">
        <v>292150000</v>
      </c>
      <c r="D8" s="24">
        <v>305</v>
      </c>
      <c r="E8" s="24">
        <v>448112759</v>
      </c>
      <c r="F8" s="24">
        <v>1244</v>
      </c>
      <c r="G8" s="24">
        <v>1327540721</v>
      </c>
      <c r="H8" s="24">
        <v>1395342289</v>
      </c>
      <c r="I8" s="24">
        <v>121048244</v>
      </c>
      <c r="J8" s="38">
        <v>8.6800000000000002E-2</v>
      </c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>
        <v>22</v>
      </c>
      <c r="E10" s="24">
        <v>32009961</v>
      </c>
      <c r="F10" s="24">
        <v>95</v>
      </c>
      <c r="G10" s="24">
        <v>98907039</v>
      </c>
      <c r="H10" s="24">
        <v>113586179</v>
      </c>
      <c r="I10" s="24">
        <v>9289142</v>
      </c>
      <c r="J10" s="38">
        <v>8.1799999999999998E-2</v>
      </c>
    </row>
    <row r="11" spans="1:10" x14ac:dyDescent="0.2">
      <c r="A11" s="35" t="s">
        <v>37</v>
      </c>
      <c r="B11" s="24">
        <v>6</v>
      </c>
      <c r="C11" s="24">
        <v>13490000</v>
      </c>
      <c r="D11" s="24">
        <v>36</v>
      </c>
      <c r="E11" s="24">
        <v>56585644</v>
      </c>
      <c r="F11" s="24">
        <v>158</v>
      </c>
      <c r="G11" s="24">
        <v>192797370</v>
      </c>
      <c r="H11" s="24">
        <v>214446963</v>
      </c>
      <c r="I11" s="24">
        <v>17005747</v>
      </c>
      <c r="J11" s="38">
        <v>7.9299999999999995E-2</v>
      </c>
    </row>
    <row r="12" spans="1:10" x14ac:dyDescent="0.2">
      <c r="A12" s="35" t="s">
        <v>38</v>
      </c>
      <c r="B12" s="24">
        <v>257</v>
      </c>
      <c r="C12" s="24">
        <v>111700000</v>
      </c>
      <c r="D12" s="24">
        <v>224</v>
      </c>
      <c r="E12" s="24">
        <v>108773304</v>
      </c>
      <c r="F12" s="24">
        <v>627</v>
      </c>
      <c r="G12" s="24">
        <v>215977152</v>
      </c>
      <c r="H12" s="24">
        <v>213532170</v>
      </c>
      <c r="I12" s="24">
        <v>17901399</v>
      </c>
      <c r="J12" s="38">
        <v>8.3799999999999999E-2</v>
      </c>
    </row>
    <row r="13" spans="1:10" x14ac:dyDescent="0.2">
      <c r="A13" s="35" t="s">
        <v>39</v>
      </c>
      <c r="B13" s="24">
        <v>15</v>
      </c>
      <c r="C13" s="24">
        <v>10320000</v>
      </c>
      <c r="D13" s="24">
        <v>34</v>
      </c>
      <c r="E13" s="24">
        <v>23848329</v>
      </c>
      <c r="F13" s="24">
        <v>118</v>
      </c>
      <c r="G13" s="24">
        <v>42334045</v>
      </c>
      <c r="H13" s="24">
        <v>0</v>
      </c>
      <c r="I13" s="24">
        <v>4017899</v>
      </c>
      <c r="J13" s="38"/>
    </row>
    <row r="14" spans="1:10" x14ac:dyDescent="0.2">
      <c r="A14" s="35" t="s">
        <v>40</v>
      </c>
      <c r="B14" s="24"/>
      <c r="C14" s="24"/>
      <c r="D14" s="24">
        <v>4</v>
      </c>
      <c r="E14" s="24">
        <v>521003</v>
      </c>
      <c r="F14" s="24">
        <v>2</v>
      </c>
      <c r="G14" s="24">
        <v>120339</v>
      </c>
      <c r="H14" s="24">
        <v>290191</v>
      </c>
      <c r="I14" s="24">
        <v>23793</v>
      </c>
      <c r="J14" s="38">
        <v>8.2000000000000003E-2</v>
      </c>
    </row>
    <row r="15" spans="1:10" x14ac:dyDescent="0.2">
      <c r="A15" s="35" t="s">
        <v>41</v>
      </c>
      <c r="B15" s="24"/>
      <c r="C15" s="24"/>
      <c r="D15" s="24">
        <v>0</v>
      </c>
      <c r="E15" s="24">
        <v>78807</v>
      </c>
      <c r="F15" s="24">
        <v>1</v>
      </c>
      <c r="G15" s="24">
        <v>781002</v>
      </c>
      <c r="H15" s="24">
        <v>817447</v>
      </c>
      <c r="I15" s="24">
        <v>41193</v>
      </c>
      <c r="J15" s="38">
        <v>5.04E-2</v>
      </c>
    </row>
    <row r="16" spans="1:10" x14ac:dyDescent="0.2">
      <c r="A16" s="35" t="s">
        <v>42</v>
      </c>
      <c r="B16" s="24"/>
      <c r="C16" s="24"/>
      <c r="D16" s="24">
        <v>1</v>
      </c>
      <c r="E16" s="24">
        <v>1554034</v>
      </c>
      <c r="F16" s="24">
        <v>5</v>
      </c>
      <c r="G16" s="24">
        <v>7919706</v>
      </c>
      <c r="H16" s="24">
        <v>8616939</v>
      </c>
      <c r="I16" s="24">
        <v>482562</v>
      </c>
      <c r="J16" s="38">
        <v>5.6000000000000001E-2</v>
      </c>
    </row>
    <row r="17" spans="1:10" x14ac:dyDescent="0.2">
      <c r="A17" s="36" t="s">
        <v>73</v>
      </c>
      <c r="B17" s="25">
        <v>443</v>
      </c>
      <c r="C17" s="25">
        <v>427660000</v>
      </c>
      <c r="D17" s="25">
        <v>633</v>
      </c>
      <c r="E17" s="25">
        <v>673942580</v>
      </c>
      <c r="F17" s="25">
        <v>2261</v>
      </c>
      <c r="G17" s="25">
        <v>1889037843</v>
      </c>
      <c r="H17" s="25">
        <v>1950340217</v>
      </c>
      <c r="I17" s="25">
        <v>170161742</v>
      </c>
      <c r="J17" s="39">
        <v>7.6874999999999999E-2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/>
      <c r="C19" s="24"/>
      <c r="D19" s="24">
        <v>1</v>
      </c>
      <c r="E19" s="24">
        <v>100389</v>
      </c>
      <c r="F19" s="24"/>
      <c r="G19" s="24"/>
      <c r="H19" s="24">
        <v>37896</v>
      </c>
      <c r="I19" s="24">
        <v>6819</v>
      </c>
      <c r="J19" s="38">
        <v>0.1799</v>
      </c>
    </row>
    <row r="20" spans="1:10" x14ac:dyDescent="0.2">
      <c r="A20" s="35" t="s">
        <v>44</v>
      </c>
      <c r="B20" s="24"/>
      <c r="C20" s="24"/>
      <c r="D20" s="24">
        <v>1</v>
      </c>
      <c r="E20" s="24">
        <v>61524</v>
      </c>
      <c r="F20" s="24"/>
      <c r="G20" s="24"/>
      <c r="H20" s="24">
        <v>11594</v>
      </c>
      <c r="I20" s="24">
        <v>2388</v>
      </c>
      <c r="J20" s="38">
        <v>0.20599999999999999</v>
      </c>
    </row>
    <row r="21" spans="1:10" x14ac:dyDescent="0.2">
      <c r="A21" s="35" t="s">
        <v>45</v>
      </c>
      <c r="B21" s="24">
        <v>2</v>
      </c>
      <c r="C21" s="24">
        <v>3290000</v>
      </c>
      <c r="D21" s="24">
        <v>4</v>
      </c>
      <c r="E21" s="24">
        <v>8455788</v>
      </c>
      <c r="F21" s="24">
        <v>34</v>
      </c>
      <c r="G21" s="24">
        <v>23837533</v>
      </c>
      <c r="H21" s="24">
        <v>26106905</v>
      </c>
      <c r="I21" s="24">
        <v>2560117</v>
      </c>
      <c r="J21" s="38">
        <v>9.8100000000000007E-2</v>
      </c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>
        <v>7</v>
      </c>
      <c r="C23" s="24">
        <v>13660000</v>
      </c>
      <c r="D23" s="24">
        <v>13</v>
      </c>
      <c r="E23" s="24">
        <v>13359380</v>
      </c>
      <c r="F23" s="24">
        <v>42</v>
      </c>
      <c r="G23" s="24">
        <v>48606040</v>
      </c>
      <c r="H23" s="24">
        <v>49536233</v>
      </c>
      <c r="I23" s="24">
        <v>4678130</v>
      </c>
      <c r="J23" s="38">
        <v>9.4399999999999998E-2</v>
      </c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43</v>
      </c>
      <c r="C25" s="24">
        <v>66250000</v>
      </c>
      <c r="D25" s="24">
        <v>49</v>
      </c>
      <c r="E25" s="24">
        <v>63096820</v>
      </c>
      <c r="F25" s="24">
        <v>218</v>
      </c>
      <c r="G25" s="24">
        <v>186159737</v>
      </c>
      <c r="H25" s="24">
        <v>187338843</v>
      </c>
      <c r="I25" s="24">
        <v>17883043</v>
      </c>
      <c r="J25" s="38">
        <v>9.5500000000000002E-2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52</v>
      </c>
      <c r="C31" s="25">
        <v>83200000</v>
      </c>
      <c r="D31" s="25">
        <v>68</v>
      </c>
      <c r="E31" s="25">
        <v>85073901</v>
      </c>
      <c r="F31" s="25">
        <v>294</v>
      </c>
      <c r="G31" s="25">
        <v>258603310</v>
      </c>
      <c r="H31" s="25">
        <v>263031471</v>
      </c>
      <c r="I31" s="25">
        <v>25130497</v>
      </c>
      <c r="J31" s="39">
        <v>0.13478000000000001</v>
      </c>
    </row>
    <row r="32" spans="1:10" x14ac:dyDescent="0.2">
      <c r="A32" s="35" t="s">
        <v>50</v>
      </c>
      <c r="B32" s="24">
        <v>6</v>
      </c>
      <c r="C32" s="24">
        <v>29230000</v>
      </c>
      <c r="D32" s="24">
        <v>8</v>
      </c>
      <c r="E32" s="24">
        <v>66796263</v>
      </c>
      <c r="F32" s="24">
        <v>92</v>
      </c>
      <c r="G32" s="24">
        <v>365906129</v>
      </c>
      <c r="H32" s="24">
        <v>379115192</v>
      </c>
      <c r="I32" s="24">
        <v>24447579</v>
      </c>
      <c r="J32" s="38">
        <v>6.4500000000000002E-2</v>
      </c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>
        <v>1</v>
      </c>
      <c r="E35" s="24">
        <v>525078</v>
      </c>
      <c r="F35" s="24">
        <v>1</v>
      </c>
      <c r="G35" s="24">
        <v>592903</v>
      </c>
      <c r="H35" s="24">
        <v>752378</v>
      </c>
      <c r="I35" s="24">
        <v>79480</v>
      </c>
      <c r="J35" s="38">
        <v>0.1056</v>
      </c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6</v>
      </c>
      <c r="C38" s="25">
        <v>29230000</v>
      </c>
      <c r="D38" s="25">
        <v>9</v>
      </c>
      <c r="E38" s="25">
        <v>67321341</v>
      </c>
      <c r="F38" s="25">
        <v>93</v>
      </c>
      <c r="G38" s="25">
        <v>366499032</v>
      </c>
      <c r="H38" s="25">
        <v>379867570</v>
      </c>
      <c r="I38" s="25">
        <v>24527059</v>
      </c>
      <c r="J38" s="39">
        <v>8.5050000000000001E-2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>
        <v>104</v>
      </c>
      <c r="C41" s="24">
        <v>99220000</v>
      </c>
      <c r="D41" s="24">
        <v>128</v>
      </c>
      <c r="E41" s="24">
        <v>140120269</v>
      </c>
      <c r="F41" s="24">
        <v>425</v>
      </c>
      <c r="G41" s="24">
        <v>372414874</v>
      </c>
      <c r="H41" s="24">
        <v>392203600</v>
      </c>
      <c r="I41" s="24">
        <v>35479371</v>
      </c>
      <c r="J41" s="38">
        <v>9.0499999999999997E-2</v>
      </c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>
        <v>2</v>
      </c>
      <c r="E44" s="24">
        <v>1420117</v>
      </c>
      <c r="F44" s="24">
        <v>9</v>
      </c>
      <c r="G44" s="24">
        <v>4636715</v>
      </c>
      <c r="H44" s="24">
        <v>5297034</v>
      </c>
      <c r="I44" s="24">
        <v>500451</v>
      </c>
      <c r="J44" s="38">
        <v>9.4500000000000001E-2</v>
      </c>
    </row>
    <row r="45" spans="1:10" x14ac:dyDescent="0.2">
      <c r="A45" s="35" t="s">
        <v>57</v>
      </c>
      <c r="B45" s="24"/>
      <c r="C45" s="24"/>
      <c r="D45" s="24">
        <v>2</v>
      </c>
      <c r="E45" s="24">
        <v>327025</v>
      </c>
      <c r="F45" s="24"/>
      <c r="G45" s="24"/>
      <c r="H45" s="24">
        <v>93354</v>
      </c>
      <c r="I45" s="24">
        <v>11138</v>
      </c>
      <c r="J45" s="38">
        <v>0.1193</v>
      </c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104</v>
      </c>
      <c r="C47" s="25">
        <v>99220000</v>
      </c>
      <c r="D47" s="25">
        <v>132</v>
      </c>
      <c r="E47" s="25">
        <v>141867411</v>
      </c>
      <c r="F47" s="25">
        <v>434</v>
      </c>
      <c r="G47" s="25">
        <v>377051589</v>
      </c>
      <c r="H47" s="25">
        <v>397593988</v>
      </c>
      <c r="I47" s="25">
        <v>35990960</v>
      </c>
      <c r="J47" s="39">
        <v>0.10143333333333333</v>
      </c>
    </row>
    <row r="48" spans="1:10" x14ac:dyDescent="0.2">
      <c r="A48" s="35" t="s">
        <v>58</v>
      </c>
      <c r="B48" s="24"/>
      <c r="C48" s="24"/>
      <c r="D48" s="24">
        <v>3</v>
      </c>
      <c r="E48" s="24">
        <v>2847128</v>
      </c>
      <c r="F48" s="24">
        <v>7</v>
      </c>
      <c r="G48" s="24">
        <v>5170391</v>
      </c>
      <c r="H48" s="24">
        <v>6555719</v>
      </c>
      <c r="I48" s="24">
        <v>460685</v>
      </c>
      <c r="J48" s="38">
        <v>7.0300000000000001E-2</v>
      </c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0</v>
      </c>
      <c r="C52" s="25">
        <v>0</v>
      </c>
      <c r="D52" s="25">
        <v>3</v>
      </c>
      <c r="E52" s="25">
        <v>2847128</v>
      </c>
      <c r="F52" s="25">
        <v>7</v>
      </c>
      <c r="G52" s="25">
        <v>5170391</v>
      </c>
      <c r="H52" s="25">
        <v>6555719</v>
      </c>
      <c r="I52" s="25">
        <v>460685</v>
      </c>
      <c r="J52" s="39">
        <v>7.0300000000000001E-2</v>
      </c>
    </row>
    <row r="53" spans="1:10" x14ac:dyDescent="0.2">
      <c r="A53" s="35" t="s">
        <v>60</v>
      </c>
      <c r="B53" s="24">
        <v>1</v>
      </c>
      <c r="C53" s="24">
        <v>200000</v>
      </c>
      <c r="D53" s="24">
        <v>4</v>
      </c>
      <c r="E53" s="24">
        <v>3040903</v>
      </c>
      <c r="F53" s="24">
        <v>18</v>
      </c>
      <c r="G53" s="24">
        <v>21600538</v>
      </c>
      <c r="H53" s="24">
        <v>21788035</v>
      </c>
      <c r="I53" s="24">
        <v>2129320</v>
      </c>
      <c r="J53" s="38">
        <v>9.7699999999999995E-2</v>
      </c>
    </row>
    <row r="54" spans="1:10" x14ac:dyDescent="0.2">
      <c r="A54" s="36" t="s">
        <v>73</v>
      </c>
      <c r="B54" s="25">
        <v>1</v>
      </c>
      <c r="C54" s="25">
        <v>200000</v>
      </c>
      <c r="D54" s="25">
        <v>4</v>
      </c>
      <c r="E54" s="25">
        <v>3040903</v>
      </c>
      <c r="F54" s="25">
        <v>18</v>
      </c>
      <c r="G54" s="25">
        <v>21600538</v>
      </c>
      <c r="H54" s="25">
        <v>21788035</v>
      </c>
      <c r="I54" s="25">
        <v>2129320</v>
      </c>
      <c r="J54" s="39">
        <v>9.7699999999999995E-2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606</v>
      </c>
      <c r="C63" s="40">
        <v>639510000</v>
      </c>
      <c r="D63" s="40">
        <v>849</v>
      </c>
      <c r="E63" s="40">
        <v>974093264</v>
      </c>
      <c r="F63" s="40">
        <v>3107</v>
      </c>
      <c r="G63" s="40">
        <v>2917962703</v>
      </c>
      <c r="H63" s="40">
        <v>3019177000</v>
      </c>
      <c r="I63" s="40">
        <v>258400263</v>
      </c>
      <c r="J63" s="41">
        <v>8.5586324683845957E-2</v>
      </c>
    </row>
  </sheetData>
  <phoneticPr fontId="2"/>
  <pageMargins left="0.7" right="0.7" top="0.75" bottom="0.75" header="0.3" footer="0.3"/>
  <pageSetup paperSize="9" scale="76" orientation="portrait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96BD7-37BE-4F33-91DA-95BCE2E9AD32}">
  <sheetPr>
    <pageSetUpPr fitToPage="1"/>
  </sheetPr>
  <dimension ref="A1:J63"/>
  <sheetViews>
    <sheetView workbookViewId="0">
      <selection activeCell="A2" sqref="A2"/>
    </sheetView>
  </sheetViews>
  <sheetFormatPr defaultRowHeight="13" x14ac:dyDescent="0.2"/>
  <cols>
    <col min="1" max="1" width="15.81640625" style="33" customWidth="1"/>
    <col min="2" max="2" width="9.08984375" style="7"/>
    <col min="3" max="3" width="12.08984375" style="7" bestFit="1" customWidth="1"/>
    <col min="4" max="4" width="9.08984375" style="7"/>
    <col min="5" max="5" width="13.6328125" style="7" customWidth="1"/>
    <col min="6" max="6" width="9.08984375" style="7"/>
    <col min="7" max="8" width="13.6328125" style="7" bestFit="1" customWidth="1"/>
    <col min="9" max="9" width="12.08984375" style="7" bestFit="1" customWidth="1"/>
    <col min="10" max="10" width="9.08984375" style="8"/>
  </cols>
  <sheetData>
    <row r="1" spans="1:10" x14ac:dyDescent="0.2">
      <c r="A1" s="33" t="s">
        <v>0</v>
      </c>
      <c r="B1" s="6" t="s">
        <v>181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>
        <v>5</v>
      </c>
      <c r="E7" s="24">
        <v>1063532</v>
      </c>
      <c r="F7" s="24">
        <v>6</v>
      </c>
      <c r="G7" s="24">
        <v>1596937</v>
      </c>
      <c r="H7" s="24">
        <v>2010078</v>
      </c>
      <c r="I7" s="24">
        <v>194290</v>
      </c>
      <c r="J7" s="38">
        <v>9.6699999999999994E-2</v>
      </c>
    </row>
    <row r="8" spans="1:10" x14ac:dyDescent="0.2">
      <c r="A8" s="35" t="s">
        <v>34</v>
      </c>
      <c r="B8" s="24">
        <v>148</v>
      </c>
      <c r="C8" s="24">
        <v>250480000</v>
      </c>
      <c r="D8" s="24">
        <v>269</v>
      </c>
      <c r="E8" s="24">
        <v>387129636</v>
      </c>
      <c r="F8" s="24">
        <v>1123</v>
      </c>
      <c r="G8" s="24">
        <v>1190891085</v>
      </c>
      <c r="H8" s="24">
        <v>1246323470</v>
      </c>
      <c r="I8" s="24">
        <v>106155928</v>
      </c>
      <c r="J8" s="38">
        <v>8.5199999999999998E-2</v>
      </c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>
        <v>21</v>
      </c>
      <c r="E10" s="24">
        <v>26861808</v>
      </c>
      <c r="F10" s="24">
        <v>74</v>
      </c>
      <c r="G10" s="24">
        <v>72045231</v>
      </c>
      <c r="H10" s="24">
        <v>84283874</v>
      </c>
      <c r="I10" s="24">
        <v>6235095</v>
      </c>
      <c r="J10" s="38">
        <v>7.3999999999999996E-2</v>
      </c>
    </row>
    <row r="11" spans="1:10" x14ac:dyDescent="0.2">
      <c r="A11" s="35" t="s">
        <v>37</v>
      </c>
      <c r="B11" s="24">
        <v>2</v>
      </c>
      <c r="C11" s="24">
        <v>4200000</v>
      </c>
      <c r="D11" s="24">
        <v>24</v>
      </c>
      <c r="E11" s="24">
        <v>51953946</v>
      </c>
      <c r="F11" s="24">
        <v>136</v>
      </c>
      <c r="G11" s="24">
        <v>145043424</v>
      </c>
      <c r="H11" s="24">
        <v>166750599</v>
      </c>
      <c r="I11" s="24">
        <v>12683485</v>
      </c>
      <c r="J11" s="38">
        <v>7.6100000000000001E-2</v>
      </c>
    </row>
    <row r="12" spans="1:10" x14ac:dyDescent="0.2">
      <c r="A12" s="35" t="s">
        <v>38</v>
      </c>
      <c r="B12" s="24">
        <v>192</v>
      </c>
      <c r="C12" s="24">
        <v>94100000</v>
      </c>
      <c r="D12" s="24">
        <v>243</v>
      </c>
      <c r="E12" s="24">
        <v>116379355</v>
      </c>
      <c r="F12" s="24">
        <v>576</v>
      </c>
      <c r="G12" s="24">
        <v>193697797</v>
      </c>
      <c r="H12" s="24">
        <v>205909494</v>
      </c>
      <c r="I12" s="24">
        <v>17263488</v>
      </c>
      <c r="J12" s="38">
        <v>8.3799999999999999E-2</v>
      </c>
    </row>
    <row r="13" spans="1:10" x14ac:dyDescent="0.2">
      <c r="A13" s="35" t="s">
        <v>39</v>
      </c>
      <c r="B13" s="24">
        <v>2</v>
      </c>
      <c r="C13" s="24">
        <v>1200000</v>
      </c>
      <c r="D13" s="24">
        <v>39</v>
      </c>
      <c r="E13" s="24">
        <v>18325462</v>
      </c>
      <c r="F13" s="24">
        <v>81</v>
      </c>
      <c r="G13" s="24">
        <v>25208583</v>
      </c>
      <c r="H13" s="24">
        <v>0</v>
      </c>
      <c r="I13" s="24">
        <v>2774712</v>
      </c>
      <c r="J13" s="38"/>
    </row>
    <row r="14" spans="1:10" x14ac:dyDescent="0.2">
      <c r="A14" s="35" t="s">
        <v>40</v>
      </c>
      <c r="B14" s="24"/>
      <c r="C14" s="24"/>
      <c r="D14" s="24">
        <v>2</v>
      </c>
      <c r="E14" s="24">
        <v>120339</v>
      </c>
      <c r="F14" s="24"/>
      <c r="G14" s="24"/>
      <c r="H14" s="24">
        <v>32369</v>
      </c>
      <c r="I14" s="24">
        <v>2879</v>
      </c>
      <c r="J14" s="38">
        <v>8.8900000000000007E-2</v>
      </c>
    </row>
    <row r="15" spans="1:10" x14ac:dyDescent="0.2">
      <c r="A15" s="35" t="s">
        <v>41</v>
      </c>
      <c r="B15" s="24"/>
      <c r="C15" s="24"/>
      <c r="D15" s="24"/>
      <c r="E15" s="24">
        <v>82838</v>
      </c>
      <c r="F15" s="24">
        <v>1</v>
      </c>
      <c r="G15" s="24">
        <v>698164</v>
      </c>
      <c r="H15" s="24">
        <v>736474</v>
      </c>
      <c r="I15" s="24">
        <v>37162</v>
      </c>
      <c r="J15" s="38">
        <v>5.0500000000000003E-2</v>
      </c>
    </row>
    <row r="16" spans="1:10" x14ac:dyDescent="0.2">
      <c r="A16" s="35" t="s">
        <v>42</v>
      </c>
      <c r="B16" s="24"/>
      <c r="C16" s="24"/>
      <c r="D16" s="24"/>
      <c r="E16" s="24">
        <v>1047432</v>
      </c>
      <c r="F16" s="24">
        <v>5</v>
      </c>
      <c r="G16" s="24">
        <v>6872274</v>
      </c>
      <c r="H16" s="24">
        <v>7361929</v>
      </c>
      <c r="I16" s="24">
        <v>355932</v>
      </c>
      <c r="J16" s="38">
        <v>4.8300000000000003E-2</v>
      </c>
    </row>
    <row r="17" spans="1:10" x14ac:dyDescent="0.2">
      <c r="A17" s="36" t="s">
        <v>73</v>
      </c>
      <c r="B17" s="25">
        <v>344</v>
      </c>
      <c r="C17" s="25">
        <v>349980000</v>
      </c>
      <c r="D17" s="25">
        <v>603</v>
      </c>
      <c r="E17" s="25">
        <v>602964348</v>
      </c>
      <c r="F17" s="25">
        <v>2002</v>
      </c>
      <c r="G17" s="25">
        <v>1636053495</v>
      </c>
      <c r="H17" s="25">
        <v>1713408287</v>
      </c>
      <c r="I17" s="25">
        <v>145702971</v>
      </c>
      <c r="J17" s="39">
        <v>7.5437500000000005E-2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>
        <v>2</v>
      </c>
      <c r="C21" s="24">
        <v>2900000</v>
      </c>
      <c r="D21" s="24">
        <v>7</v>
      </c>
      <c r="E21" s="24">
        <v>8082093</v>
      </c>
      <c r="F21" s="24">
        <v>29</v>
      </c>
      <c r="G21" s="24">
        <v>18655440</v>
      </c>
      <c r="H21" s="24">
        <v>20166708</v>
      </c>
      <c r="I21" s="24">
        <v>1863701</v>
      </c>
      <c r="J21" s="38">
        <v>9.2399999999999996E-2</v>
      </c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>
        <v>10</v>
      </c>
      <c r="C23" s="24">
        <v>13380000</v>
      </c>
      <c r="D23" s="24">
        <v>7</v>
      </c>
      <c r="E23" s="24">
        <v>13862559</v>
      </c>
      <c r="F23" s="24">
        <v>45</v>
      </c>
      <c r="G23" s="24">
        <v>48123481</v>
      </c>
      <c r="H23" s="24">
        <v>49862333</v>
      </c>
      <c r="I23" s="24">
        <v>4948559</v>
      </c>
      <c r="J23" s="38">
        <v>9.9199999999999997E-2</v>
      </c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16</v>
      </c>
      <c r="C25" s="24">
        <v>22750000</v>
      </c>
      <c r="D25" s="24">
        <v>40</v>
      </c>
      <c r="E25" s="24">
        <v>59251255</v>
      </c>
      <c r="F25" s="24">
        <v>194</v>
      </c>
      <c r="G25" s="24">
        <v>149658482</v>
      </c>
      <c r="H25" s="24">
        <v>167100147</v>
      </c>
      <c r="I25" s="24">
        <v>16236163</v>
      </c>
      <c r="J25" s="38">
        <v>9.7199999999999995E-2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28</v>
      </c>
      <c r="C31" s="25">
        <v>39030000</v>
      </c>
      <c r="D31" s="25">
        <v>54</v>
      </c>
      <c r="E31" s="25">
        <v>81195907</v>
      </c>
      <c r="F31" s="25">
        <v>268</v>
      </c>
      <c r="G31" s="25">
        <v>216437403</v>
      </c>
      <c r="H31" s="25">
        <v>237129188</v>
      </c>
      <c r="I31" s="25">
        <v>23048423</v>
      </c>
      <c r="J31" s="39">
        <v>9.6266666666666667E-2</v>
      </c>
    </row>
    <row r="32" spans="1:10" x14ac:dyDescent="0.2">
      <c r="A32" s="35" t="s">
        <v>50</v>
      </c>
      <c r="B32" s="24">
        <v>6</v>
      </c>
      <c r="C32" s="24">
        <v>34550000</v>
      </c>
      <c r="D32" s="24">
        <v>8</v>
      </c>
      <c r="E32" s="24">
        <v>54550978</v>
      </c>
      <c r="F32" s="24">
        <v>90</v>
      </c>
      <c r="G32" s="24">
        <v>345905151</v>
      </c>
      <c r="H32" s="24">
        <v>358991559</v>
      </c>
      <c r="I32" s="24">
        <v>23423687</v>
      </c>
      <c r="J32" s="38">
        <v>6.5199999999999994E-2</v>
      </c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>
        <v>34910</v>
      </c>
      <c r="F35" s="24">
        <v>1</v>
      </c>
      <c r="G35" s="24">
        <v>557993</v>
      </c>
      <c r="H35" s="24">
        <v>585685</v>
      </c>
      <c r="I35" s="24">
        <v>69591</v>
      </c>
      <c r="J35" s="38">
        <v>0.1188</v>
      </c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6</v>
      </c>
      <c r="C38" s="25">
        <v>34550000</v>
      </c>
      <c r="D38" s="25">
        <v>8</v>
      </c>
      <c r="E38" s="25">
        <v>54585888</v>
      </c>
      <c r="F38" s="25">
        <v>91</v>
      </c>
      <c r="G38" s="25">
        <v>346463144</v>
      </c>
      <c r="H38" s="25">
        <v>359577244</v>
      </c>
      <c r="I38" s="25">
        <v>23493278</v>
      </c>
      <c r="J38" s="39">
        <v>9.1999999999999998E-2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>
        <v>113</v>
      </c>
      <c r="C41" s="24">
        <v>83190000</v>
      </c>
      <c r="D41" s="24">
        <v>112</v>
      </c>
      <c r="E41" s="24">
        <v>125838062</v>
      </c>
      <c r="F41" s="24">
        <v>426</v>
      </c>
      <c r="G41" s="24">
        <v>329766812</v>
      </c>
      <c r="H41" s="24">
        <v>351208669</v>
      </c>
      <c r="I41" s="24">
        <v>32292395</v>
      </c>
      <c r="J41" s="38">
        <v>9.1899999999999996E-2</v>
      </c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>
        <v>3</v>
      </c>
      <c r="E44" s="24">
        <v>1544360</v>
      </c>
      <c r="F44" s="24">
        <v>6</v>
      </c>
      <c r="G44" s="24">
        <v>3092355</v>
      </c>
      <c r="H44" s="24">
        <v>3752317</v>
      </c>
      <c r="I44" s="24">
        <v>348954</v>
      </c>
      <c r="J44" s="38">
        <v>9.2999999999999999E-2</v>
      </c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113</v>
      </c>
      <c r="C47" s="25">
        <v>83190000</v>
      </c>
      <c r="D47" s="25">
        <v>115</v>
      </c>
      <c r="E47" s="25">
        <v>127382422</v>
      </c>
      <c r="F47" s="25">
        <v>432</v>
      </c>
      <c r="G47" s="25">
        <v>332859167</v>
      </c>
      <c r="H47" s="25">
        <v>354960986</v>
      </c>
      <c r="I47" s="25">
        <v>32641349</v>
      </c>
      <c r="J47" s="39">
        <v>9.2450000000000004E-2</v>
      </c>
    </row>
    <row r="48" spans="1:10" x14ac:dyDescent="0.2">
      <c r="A48" s="35" t="s">
        <v>58</v>
      </c>
      <c r="B48" s="24">
        <v>1</v>
      </c>
      <c r="C48" s="24">
        <v>1000000</v>
      </c>
      <c r="D48" s="24">
        <v>1</v>
      </c>
      <c r="E48" s="24">
        <v>1885937</v>
      </c>
      <c r="F48" s="24">
        <v>7</v>
      </c>
      <c r="G48" s="24">
        <v>4284454</v>
      </c>
      <c r="H48" s="24">
        <v>5159875</v>
      </c>
      <c r="I48" s="24">
        <v>354662</v>
      </c>
      <c r="J48" s="38">
        <v>6.8699999999999997E-2</v>
      </c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1</v>
      </c>
      <c r="C52" s="25">
        <v>1000000</v>
      </c>
      <c r="D52" s="25">
        <v>1</v>
      </c>
      <c r="E52" s="25">
        <v>1885937</v>
      </c>
      <c r="F52" s="25">
        <v>7</v>
      </c>
      <c r="G52" s="25">
        <v>4284454</v>
      </c>
      <c r="H52" s="25">
        <v>5159875</v>
      </c>
      <c r="I52" s="25">
        <v>354662</v>
      </c>
      <c r="J52" s="39">
        <v>6.8699999999999997E-2</v>
      </c>
    </row>
    <row r="53" spans="1:10" x14ac:dyDescent="0.2">
      <c r="A53" s="35" t="s">
        <v>60</v>
      </c>
      <c r="B53" s="24">
        <v>1</v>
      </c>
      <c r="C53" s="24">
        <v>570000</v>
      </c>
      <c r="D53" s="24">
        <v>5</v>
      </c>
      <c r="E53" s="24">
        <v>6008412</v>
      </c>
      <c r="F53" s="24">
        <v>14</v>
      </c>
      <c r="G53" s="24">
        <v>16162126</v>
      </c>
      <c r="H53" s="24">
        <v>21788035</v>
      </c>
      <c r="I53" s="24">
        <v>1598084</v>
      </c>
      <c r="J53" s="38">
        <v>7.3300000000000004E-2</v>
      </c>
    </row>
    <row r="54" spans="1:10" x14ac:dyDescent="0.2">
      <c r="A54" s="36" t="s">
        <v>73</v>
      </c>
      <c r="B54" s="25">
        <v>1</v>
      </c>
      <c r="C54" s="25">
        <v>570000</v>
      </c>
      <c r="D54" s="25">
        <v>5</v>
      </c>
      <c r="E54" s="25">
        <v>6008412</v>
      </c>
      <c r="F54" s="25">
        <v>14</v>
      </c>
      <c r="G54" s="25">
        <v>16162126</v>
      </c>
      <c r="H54" s="25">
        <v>21788035</v>
      </c>
      <c r="I54" s="25">
        <v>1598084</v>
      </c>
      <c r="J54" s="39">
        <v>7.3300000000000004E-2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493</v>
      </c>
      <c r="C63" s="40">
        <v>508320000</v>
      </c>
      <c r="D63" s="40">
        <v>786</v>
      </c>
      <c r="E63" s="40">
        <v>874022914</v>
      </c>
      <c r="F63" s="40">
        <v>2814</v>
      </c>
      <c r="G63" s="40">
        <v>2552259789</v>
      </c>
      <c r="H63" s="40">
        <v>2692023615</v>
      </c>
      <c r="I63" s="40">
        <v>226838767</v>
      </c>
      <c r="J63" s="41">
        <v>8.426329016433981E-2</v>
      </c>
    </row>
  </sheetData>
  <phoneticPr fontId="2"/>
  <pageMargins left="0.7" right="0.7" top="0.75" bottom="0.75" header="0.3" footer="0.3"/>
  <pageSetup paperSize="9" scale="76" orientation="portrait" horizontalDpi="0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695CA-4346-4A69-84FA-8950282C17DB}">
  <sheetPr>
    <pageSetUpPr fitToPage="1"/>
  </sheetPr>
  <dimension ref="A1:J63"/>
  <sheetViews>
    <sheetView workbookViewId="0"/>
  </sheetViews>
  <sheetFormatPr defaultRowHeight="13" x14ac:dyDescent="0.2"/>
  <cols>
    <col min="1" max="1" width="15.81640625" style="33" customWidth="1"/>
    <col min="2" max="2" width="9.08984375" style="7"/>
    <col min="3" max="3" width="12.08984375" style="7" bestFit="1" customWidth="1"/>
    <col min="4" max="4" width="9.08984375" style="7"/>
    <col min="5" max="5" width="13.6328125" style="7" customWidth="1"/>
    <col min="6" max="6" width="9.08984375" style="7"/>
    <col min="7" max="8" width="13.6328125" style="7" bestFit="1" customWidth="1"/>
    <col min="9" max="9" width="12.08984375" style="7" bestFit="1" customWidth="1"/>
    <col min="10" max="10" width="9.08984375" style="8"/>
  </cols>
  <sheetData>
    <row r="1" spans="1:10" x14ac:dyDescent="0.2">
      <c r="A1" s="33" t="s">
        <v>0</v>
      </c>
      <c r="B1" s="6" t="s">
        <v>182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>
        <v>2</v>
      </c>
      <c r="E7" s="24">
        <v>379249</v>
      </c>
      <c r="F7" s="24">
        <v>4</v>
      </c>
      <c r="G7" s="24">
        <v>1217688</v>
      </c>
      <c r="H7" s="24">
        <v>1386261</v>
      </c>
      <c r="I7" s="24">
        <v>119434</v>
      </c>
      <c r="J7" s="38">
        <v>8.6199999999999999E-2</v>
      </c>
    </row>
    <row r="8" spans="1:10" x14ac:dyDescent="0.2">
      <c r="A8" s="35" t="s">
        <v>34</v>
      </c>
      <c r="B8" s="24">
        <v>112</v>
      </c>
      <c r="C8" s="24">
        <v>181180000</v>
      </c>
      <c r="D8" s="24">
        <v>231</v>
      </c>
      <c r="E8" s="24">
        <v>339027743</v>
      </c>
      <c r="F8" s="24">
        <v>1004</v>
      </c>
      <c r="G8" s="24">
        <v>1033043342</v>
      </c>
      <c r="H8" s="24">
        <v>1099468210</v>
      </c>
      <c r="I8" s="24">
        <v>93147921</v>
      </c>
      <c r="J8" s="38">
        <v>8.4699999999999998E-2</v>
      </c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>
        <v>26</v>
      </c>
      <c r="E10" s="24">
        <v>28961385</v>
      </c>
      <c r="F10" s="24">
        <v>48</v>
      </c>
      <c r="G10" s="24">
        <v>43083846</v>
      </c>
      <c r="H10" s="24">
        <v>58984868</v>
      </c>
      <c r="I10" s="24">
        <v>4208438</v>
      </c>
      <c r="J10" s="38">
        <v>7.1300000000000002E-2</v>
      </c>
    </row>
    <row r="11" spans="1:10" x14ac:dyDescent="0.2">
      <c r="A11" s="35" t="s">
        <v>37</v>
      </c>
      <c r="B11" s="24">
        <v>5</v>
      </c>
      <c r="C11" s="24">
        <v>8790000</v>
      </c>
      <c r="D11" s="24">
        <v>33</v>
      </c>
      <c r="E11" s="24">
        <v>34323397</v>
      </c>
      <c r="F11" s="24">
        <v>108</v>
      </c>
      <c r="G11" s="24">
        <v>119510027</v>
      </c>
      <c r="H11" s="24">
        <v>128262970</v>
      </c>
      <c r="I11" s="24">
        <v>8686080</v>
      </c>
      <c r="J11" s="38">
        <v>6.7699999999999996E-2</v>
      </c>
    </row>
    <row r="12" spans="1:10" x14ac:dyDescent="0.2">
      <c r="A12" s="35" t="s">
        <v>38</v>
      </c>
      <c r="B12" s="24">
        <v>183</v>
      </c>
      <c r="C12" s="24">
        <v>81500000</v>
      </c>
      <c r="D12" s="24">
        <v>219</v>
      </c>
      <c r="E12" s="24">
        <v>101485422</v>
      </c>
      <c r="F12" s="24">
        <v>540</v>
      </c>
      <c r="G12" s="24">
        <v>173712375</v>
      </c>
      <c r="H12" s="24">
        <v>179442539</v>
      </c>
      <c r="I12" s="24">
        <v>15003408</v>
      </c>
      <c r="J12" s="38">
        <v>8.3599999999999994E-2</v>
      </c>
    </row>
    <row r="13" spans="1:10" x14ac:dyDescent="0.2">
      <c r="A13" s="35" t="s">
        <v>39</v>
      </c>
      <c r="B13" s="24">
        <v>10</v>
      </c>
      <c r="C13" s="24">
        <v>7640000</v>
      </c>
      <c r="D13" s="24">
        <v>37</v>
      </c>
      <c r="E13" s="24">
        <v>13344034</v>
      </c>
      <c r="F13" s="24">
        <v>54</v>
      </c>
      <c r="G13" s="24">
        <v>19504549</v>
      </c>
      <c r="H13" s="24">
        <v>21091310</v>
      </c>
      <c r="I13" s="24">
        <v>1735586</v>
      </c>
      <c r="J13" s="38">
        <v>8.2299999999999998E-2</v>
      </c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>
        <v>87074</v>
      </c>
      <c r="F15" s="24">
        <v>1</v>
      </c>
      <c r="G15" s="24">
        <v>611090</v>
      </c>
      <c r="H15" s="24">
        <v>651359</v>
      </c>
      <c r="I15" s="24">
        <v>32926</v>
      </c>
      <c r="J15" s="38">
        <v>5.0500000000000003E-2</v>
      </c>
    </row>
    <row r="16" spans="1:10" x14ac:dyDescent="0.2">
      <c r="A16" s="35" t="s">
        <v>42</v>
      </c>
      <c r="B16" s="24"/>
      <c r="C16" s="24"/>
      <c r="D16" s="24"/>
      <c r="E16" s="24">
        <v>1083114</v>
      </c>
      <c r="F16" s="24">
        <v>5</v>
      </c>
      <c r="G16" s="24">
        <v>5789160</v>
      </c>
      <c r="H16" s="24">
        <v>6301245</v>
      </c>
      <c r="I16" s="24">
        <v>226298</v>
      </c>
      <c r="J16" s="38">
        <v>3.5900000000000001E-2</v>
      </c>
    </row>
    <row r="17" spans="1:10" x14ac:dyDescent="0.2">
      <c r="A17" s="36" t="s">
        <v>73</v>
      </c>
      <c r="B17" s="25">
        <v>310</v>
      </c>
      <c r="C17" s="25">
        <v>279110000</v>
      </c>
      <c r="D17" s="25">
        <v>548</v>
      </c>
      <c r="E17" s="25">
        <v>518691418</v>
      </c>
      <c r="F17" s="25">
        <v>1764</v>
      </c>
      <c r="G17" s="25">
        <v>1396472077</v>
      </c>
      <c r="H17" s="25">
        <v>1495588762</v>
      </c>
      <c r="I17" s="25">
        <v>123160091</v>
      </c>
      <c r="J17" s="39">
        <v>7.0275000000000004E-2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>
        <v>3</v>
      </c>
      <c r="C21" s="24">
        <v>5380000</v>
      </c>
      <c r="D21" s="24">
        <v>8</v>
      </c>
      <c r="E21" s="24">
        <v>7342015</v>
      </c>
      <c r="F21" s="24">
        <v>24</v>
      </c>
      <c r="G21" s="24">
        <v>16693425</v>
      </c>
      <c r="H21" s="24">
        <v>17578874</v>
      </c>
      <c r="I21" s="24">
        <v>1576904</v>
      </c>
      <c r="J21" s="38">
        <v>8.9700000000000002E-2</v>
      </c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>
        <v>4</v>
      </c>
      <c r="C23" s="24">
        <v>4700000</v>
      </c>
      <c r="D23" s="24">
        <v>5</v>
      </c>
      <c r="E23" s="24">
        <v>14755103</v>
      </c>
      <c r="F23" s="24">
        <v>44</v>
      </c>
      <c r="G23" s="24">
        <v>38068378</v>
      </c>
      <c r="H23" s="24">
        <v>43513718</v>
      </c>
      <c r="I23" s="24">
        <v>3964490</v>
      </c>
      <c r="J23" s="38">
        <v>9.11E-2</v>
      </c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25</v>
      </c>
      <c r="C25" s="24">
        <v>39380000</v>
      </c>
      <c r="D25" s="24">
        <v>43</v>
      </c>
      <c r="E25" s="24">
        <v>48895690</v>
      </c>
      <c r="F25" s="24">
        <v>176</v>
      </c>
      <c r="G25" s="24">
        <v>140142792</v>
      </c>
      <c r="H25" s="24">
        <v>141431980</v>
      </c>
      <c r="I25" s="24">
        <v>13380141</v>
      </c>
      <c r="J25" s="38">
        <v>9.4600000000000004E-2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32</v>
      </c>
      <c r="C31" s="25">
        <v>49460000</v>
      </c>
      <c r="D31" s="25">
        <v>56</v>
      </c>
      <c r="E31" s="25">
        <v>70992808</v>
      </c>
      <c r="F31" s="25">
        <v>244</v>
      </c>
      <c r="G31" s="25">
        <v>194904595</v>
      </c>
      <c r="H31" s="25">
        <v>202524572</v>
      </c>
      <c r="I31" s="25">
        <v>18921535</v>
      </c>
      <c r="J31" s="39">
        <v>9.1800000000000007E-2</v>
      </c>
    </row>
    <row r="32" spans="1:10" x14ac:dyDescent="0.2">
      <c r="A32" s="35" t="s">
        <v>50</v>
      </c>
      <c r="B32" s="24">
        <v>4</v>
      </c>
      <c r="C32" s="24">
        <v>28460000</v>
      </c>
      <c r="D32" s="24">
        <v>13</v>
      </c>
      <c r="E32" s="24">
        <v>72851718</v>
      </c>
      <c r="F32" s="24">
        <v>81</v>
      </c>
      <c r="G32" s="24">
        <v>301513433</v>
      </c>
      <c r="H32" s="24">
        <v>317314398</v>
      </c>
      <c r="I32" s="24">
        <v>23626224</v>
      </c>
      <c r="J32" s="38">
        <v>7.4499999999999997E-2</v>
      </c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>
        <v>124415</v>
      </c>
      <c r="F35" s="24">
        <v>1</v>
      </c>
      <c r="G35" s="24">
        <v>433578</v>
      </c>
      <c r="H35" s="24">
        <v>490100</v>
      </c>
      <c r="I35" s="24">
        <v>70585</v>
      </c>
      <c r="J35" s="38">
        <v>0.14399999999999999</v>
      </c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4</v>
      </c>
      <c r="C38" s="25">
        <v>28460000</v>
      </c>
      <c r="D38" s="25">
        <v>13</v>
      </c>
      <c r="E38" s="25">
        <v>72976133</v>
      </c>
      <c r="F38" s="25">
        <v>82</v>
      </c>
      <c r="G38" s="25">
        <v>301947011</v>
      </c>
      <c r="H38" s="25">
        <v>317804498</v>
      </c>
      <c r="I38" s="25">
        <v>23696809</v>
      </c>
      <c r="J38" s="39">
        <v>0.10924999999999999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>
        <v>109</v>
      </c>
      <c r="C41" s="24">
        <v>67020000</v>
      </c>
      <c r="D41" s="24">
        <v>154</v>
      </c>
      <c r="E41" s="24">
        <v>118287250</v>
      </c>
      <c r="F41" s="24">
        <v>381</v>
      </c>
      <c r="G41" s="24">
        <v>278499562</v>
      </c>
      <c r="H41" s="24">
        <v>296000454</v>
      </c>
      <c r="I41" s="24">
        <v>26525833</v>
      </c>
      <c r="J41" s="38">
        <v>8.9599999999999999E-2</v>
      </c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>
        <v>1</v>
      </c>
      <c r="E44" s="24">
        <v>611466</v>
      </c>
      <c r="F44" s="24">
        <v>5</v>
      </c>
      <c r="G44" s="24">
        <v>2480889</v>
      </c>
      <c r="H44" s="24">
        <v>2731339</v>
      </c>
      <c r="I44" s="24">
        <v>235592</v>
      </c>
      <c r="J44" s="38">
        <v>8.6300000000000002E-2</v>
      </c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109</v>
      </c>
      <c r="C47" s="25">
        <v>67020000</v>
      </c>
      <c r="D47" s="25">
        <v>155</v>
      </c>
      <c r="E47" s="25">
        <v>118898716</v>
      </c>
      <c r="F47" s="25">
        <v>386</v>
      </c>
      <c r="G47" s="25">
        <v>280980451</v>
      </c>
      <c r="H47" s="25">
        <v>298731793</v>
      </c>
      <c r="I47" s="25">
        <v>26761425</v>
      </c>
      <c r="J47" s="39">
        <v>8.795E-2</v>
      </c>
    </row>
    <row r="48" spans="1:10" x14ac:dyDescent="0.2">
      <c r="A48" s="35" t="s">
        <v>58</v>
      </c>
      <c r="B48" s="24">
        <v>1</v>
      </c>
      <c r="C48" s="24">
        <v>1000000</v>
      </c>
      <c r="D48" s="24">
        <v>3</v>
      </c>
      <c r="E48" s="24">
        <v>1641397</v>
      </c>
      <c r="F48" s="24">
        <v>5</v>
      </c>
      <c r="G48" s="24">
        <v>3643057</v>
      </c>
      <c r="H48" s="24">
        <v>4202337</v>
      </c>
      <c r="I48" s="24">
        <v>297228</v>
      </c>
      <c r="J48" s="38">
        <v>7.0699999999999999E-2</v>
      </c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1</v>
      </c>
      <c r="C52" s="25">
        <v>1000000</v>
      </c>
      <c r="D52" s="25">
        <v>3</v>
      </c>
      <c r="E52" s="25">
        <v>1641397</v>
      </c>
      <c r="F52" s="25">
        <v>5</v>
      </c>
      <c r="G52" s="25">
        <v>3643057</v>
      </c>
      <c r="H52" s="25">
        <v>4202337</v>
      </c>
      <c r="I52" s="25">
        <v>297228</v>
      </c>
      <c r="J52" s="39">
        <v>7.0699999999999999E-2</v>
      </c>
    </row>
    <row r="53" spans="1:10" x14ac:dyDescent="0.2">
      <c r="A53" s="35" t="s">
        <v>60</v>
      </c>
      <c r="B53" s="24"/>
      <c r="C53" s="24"/>
      <c r="D53" s="24">
        <v>1</v>
      </c>
      <c r="E53" s="24">
        <v>3542227</v>
      </c>
      <c r="F53" s="24">
        <v>13</v>
      </c>
      <c r="G53" s="24">
        <v>12619899</v>
      </c>
      <c r="H53" s="24">
        <v>21788035</v>
      </c>
      <c r="I53" s="24">
        <v>910888</v>
      </c>
      <c r="J53" s="38">
        <v>4.1799999999999997E-2</v>
      </c>
    </row>
    <row r="54" spans="1:10" x14ac:dyDescent="0.2">
      <c r="A54" s="36" t="s">
        <v>73</v>
      </c>
      <c r="B54" s="25">
        <v>0</v>
      </c>
      <c r="C54" s="25">
        <v>0</v>
      </c>
      <c r="D54" s="25">
        <v>1</v>
      </c>
      <c r="E54" s="25">
        <v>3542227</v>
      </c>
      <c r="F54" s="25">
        <v>13</v>
      </c>
      <c r="G54" s="25">
        <v>12619899</v>
      </c>
      <c r="H54" s="25">
        <v>21788035</v>
      </c>
      <c r="I54" s="25">
        <v>910888</v>
      </c>
      <c r="J54" s="39">
        <v>4.1799999999999997E-2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456</v>
      </c>
      <c r="C63" s="40">
        <v>425050000</v>
      </c>
      <c r="D63" s="40">
        <v>776</v>
      </c>
      <c r="E63" s="40">
        <v>786742699</v>
      </c>
      <c r="F63" s="40">
        <v>2494</v>
      </c>
      <c r="G63" s="40">
        <v>2190567090</v>
      </c>
      <c r="H63" s="40">
        <v>2340639997</v>
      </c>
      <c r="I63" s="40">
        <v>193747976</v>
      </c>
      <c r="J63" s="41">
        <v>8.2775640956459312E-2</v>
      </c>
    </row>
  </sheetData>
  <phoneticPr fontId="2"/>
  <pageMargins left="0.7" right="0.7" top="0.75" bottom="0.75" header="0.3" footer="0.3"/>
  <pageSetup paperSize="9" scale="76" orientation="portrait" horizontalDpi="0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9BE26-F2BD-4699-AD9A-0BEA41C2823A}">
  <sheetPr>
    <pageSetUpPr fitToPage="1"/>
  </sheetPr>
  <dimension ref="A1:J65"/>
  <sheetViews>
    <sheetView workbookViewId="0"/>
  </sheetViews>
  <sheetFormatPr defaultRowHeight="13" x14ac:dyDescent="0.2"/>
  <cols>
    <col min="1" max="1" width="15.81640625" style="33" customWidth="1"/>
    <col min="2" max="2" width="9.08984375" style="7"/>
    <col min="3" max="3" width="12.08984375" style="7" bestFit="1" customWidth="1"/>
    <col min="4" max="4" width="9.08984375" style="7"/>
    <col min="5" max="5" width="13.6328125" style="7" customWidth="1"/>
    <col min="6" max="6" width="9.08984375" style="7"/>
    <col min="7" max="8" width="13.6328125" style="7" bestFit="1" customWidth="1"/>
    <col min="9" max="9" width="12.08984375" style="7" bestFit="1" customWidth="1"/>
    <col min="10" max="10" width="9.08984375" style="8"/>
  </cols>
  <sheetData>
    <row r="1" spans="1:10" x14ac:dyDescent="0.2">
      <c r="A1" s="33" t="s">
        <v>0</v>
      </c>
      <c r="B1" s="6" t="s">
        <v>183</v>
      </c>
    </row>
    <row r="2" spans="1:10" x14ac:dyDescent="0.2">
      <c r="B2" s="9" t="s">
        <v>62</v>
      </c>
      <c r="C2" s="9"/>
      <c r="D2" s="10" t="s">
        <v>65</v>
      </c>
      <c r="E2" s="10"/>
      <c r="F2" s="11" t="s">
        <v>66</v>
      </c>
      <c r="G2" s="11"/>
      <c r="H2" s="12" t="s">
        <v>67</v>
      </c>
      <c r="I2" s="12" t="s">
        <v>11</v>
      </c>
      <c r="J2" s="13" t="s">
        <v>68</v>
      </c>
    </row>
    <row r="3" spans="1:10" ht="13.5" thickBot="1" x14ac:dyDescent="0.25">
      <c r="B3" s="9" t="s">
        <v>63</v>
      </c>
      <c r="C3" s="9" t="s">
        <v>64</v>
      </c>
      <c r="D3" s="10" t="s">
        <v>63</v>
      </c>
      <c r="E3" s="10" t="s">
        <v>64</v>
      </c>
      <c r="F3" s="11" t="s">
        <v>63</v>
      </c>
      <c r="G3" s="11" t="s">
        <v>64</v>
      </c>
      <c r="H3" s="12"/>
      <c r="I3" s="12"/>
      <c r="J3" s="13"/>
    </row>
    <row r="4" spans="1:10" x14ac:dyDescent="0.2">
      <c r="A4" s="34" t="s">
        <v>32</v>
      </c>
      <c r="B4" s="24"/>
      <c r="C4" s="24"/>
      <c r="D4" s="24"/>
      <c r="E4" s="24"/>
      <c r="F4" s="24"/>
      <c r="G4" s="24"/>
      <c r="H4" s="24"/>
      <c r="I4" s="24"/>
      <c r="J4" s="38"/>
    </row>
    <row r="5" spans="1:10" x14ac:dyDescent="0.2">
      <c r="A5" s="35" t="s">
        <v>72</v>
      </c>
      <c r="B5" s="24"/>
      <c r="C5" s="24"/>
      <c r="D5" s="24"/>
      <c r="E5" s="24"/>
      <c r="F5" s="24"/>
      <c r="G5" s="24"/>
      <c r="H5" s="24"/>
      <c r="I5" s="24"/>
      <c r="J5" s="38"/>
    </row>
    <row r="6" spans="1:10" x14ac:dyDescent="0.2">
      <c r="A6" s="35" t="s">
        <v>109</v>
      </c>
      <c r="B6" s="24"/>
      <c r="C6" s="24"/>
      <c r="D6" s="24"/>
      <c r="E6" s="24"/>
      <c r="F6" s="24"/>
      <c r="G6" s="24"/>
      <c r="H6" s="24"/>
      <c r="I6" s="24"/>
      <c r="J6" s="38"/>
    </row>
    <row r="7" spans="1:10" ht="24" x14ac:dyDescent="0.2">
      <c r="A7" s="35" t="s">
        <v>33</v>
      </c>
      <c r="B7" s="24"/>
      <c r="C7" s="24"/>
      <c r="D7" s="24"/>
      <c r="E7" s="24">
        <v>243804</v>
      </c>
      <c r="F7" s="24">
        <v>4</v>
      </c>
      <c r="G7" s="24">
        <v>973884</v>
      </c>
      <c r="H7" s="24">
        <v>1079237</v>
      </c>
      <c r="I7" s="24">
        <v>84584</v>
      </c>
      <c r="J7" s="38">
        <v>7.8399999999999997E-2</v>
      </c>
    </row>
    <row r="8" spans="1:10" x14ac:dyDescent="0.2">
      <c r="A8" s="35" t="s">
        <v>34</v>
      </c>
      <c r="B8" s="24">
        <v>140</v>
      </c>
      <c r="C8" s="24">
        <v>256800000</v>
      </c>
      <c r="D8" s="24">
        <v>218</v>
      </c>
      <c r="E8" s="24">
        <v>323219192</v>
      </c>
      <c r="F8" s="24">
        <v>926</v>
      </c>
      <c r="G8" s="24">
        <v>966624150</v>
      </c>
      <c r="H8" s="24">
        <v>991137471</v>
      </c>
      <c r="I8" s="24">
        <v>83973883</v>
      </c>
      <c r="J8" s="38">
        <v>8.4699999999999998E-2</v>
      </c>
    </row>
    <row r="9" spans="1:10" x14ac:dyDescent="0.2">
      <c r="A9" s="35" t="s">
        <v>35</v>
      </c>
      <c r="B9" s="24"/>
      <c r="C9" s="24"/>
      <c r="D9" s="24"/>
      <c r="E9" s="24"/>
      <c r="F9" s="24"/>
      <c r="G9" s="24"/>
      <c r="H9" s="24"/>
      <c r="I9" s="24"/>
      <c r="J9" s="38"/>
    </row>
    <row r="10" spans="1:10" x14ac:dyDescent="0.2">
      <c r="A10" s="35" t="s">
        <v>36</v>
      </c>
      <c r="B10" s="24"/>
      <c r="C10" s="24"/>
      <c r="D10" s="24">
        <v>13</v>
      </c>
      <c r="E10" s="24">
        <v>13309378</v>
      </c>
      <c r="F10" s="24">
        <v>35</v>
      </c>
      <c r="G10" s="24">
        <v>29774468</v>
      </c>
      <c r="H10" s="24">
        <v>34885864</v>
      </c>
      <c r="I10" s="24">
        <v>2440896</v>
      </c>
      <c r="J10" s="38">
        <v>7.0000000000000007E-2</v>
      </c>
    </row>
    <row r="11" spans="1:10" x14ac:dyDescent="0.2">
      <c r="A11" s="35" t="s">
        <v>37</v>
      </c>
      <c r="B11" s="24">
        <v>13</v>
      </c>
      <c r="C11" s="24">
        <v>34620000</v>
      </c>
      <c r="D11" s="24">
        <v>23</v>
      </c>
      <c r="E11" s="24">
        <v>32169304</v>
      </c>
      <c r="F11" s="24">
        <v>98</v>
      </c>
      <c r="G11" s="24">
        <v>121960723</v>
      </c>
      <c r="H11" s="24">
        <v>116494872</v>
      </c>
      <c r="I11" s="24">
        <v>8180355</v>
      </c>
      <c r="J11" s="38">
        <v>7.0199999999999999E-2</v>
      </c>
    </row>
    <row r="12" spans="1:10" x14ac:dyDescent="0.2">
      <c r="A12" s="35" t="s">
        <v>38</v>
      </c>
      <c r="B12" s="24">
        <v>161</v>
      </c>
      <c r="C12" s="24">
        <v>72930000</v>
      </c>
      <c r="D12" s="24">
        <v>230</v>
      </c>
      <c r="E12" s="24">
        <v>96546082</v>
      </c>
      <c r="F12" s="24">
        <v>471</v>
      </c>
      <c r="G12" s="24">
        <v>150096293</v>
      </c>
      <c r="H12" s="24">
        <v>159657942</v>
      </c>
      <c r="I12" s="24">
        <v>13399377</v>
      </c>
      <c r="J12" s="38">
        <v>8.3900000000000002E-2</v>
      </c>
    </row>
    <row r="13" spans="1:10" x14ac:dyDescent="0.2">
      <c r="A13" s="35" t="s">
        <v>39</v>
      </c>
      <c r="B13" s="24">
        <v>18</v>
      </c>
      <c r="C13" s="24">
        <v>12900000</v>
      </c>
      <c r="D13" s="24">
        <v>25</v>
      </c>
      <c r="E13" s="24">
        <v>12576283</v>
      </c>
      <c r="F13" s="24">
        <v>47</v>
      </c>
      <c r="G13" s="24">
        <v>19828266</v>
      </c>
      <c r="H13" s="24">
        <v>18983064</v>
      </c>
      <c r="I13" s="24">
        <v>1545574</v>
      </c>
      <c r="J13" s="38">
        <v>8.14E-2</v>
      </c>
    </row>
    <row r="14" spans="1:10" x14ac:dyDescent="0.2">
      <c r="A14" s="35" t="s">
        <v>40</v>
      </c>
      <c r="B14" s="24"/>
      <c r="C14" s="24"/>
      <c r="D14" s="24"/>
      <c r="E14" s="24"/>
      <c r="F14" s="24"/>
      <c r="G14" s="24"/>
      <c r="H14" s="24"/>
      <c r="I14" s="24"/>
      <c r="J14" s="38"/>
    </row>
    <row r="15" spans="1:10" x14ac:dyDescent="0.2">
      <c r="A15" s="35" t="s">
        <v>41</v>
      </c>
      <c r="B15" s="24"/>
      <c r="C15" s="24"/>
      <c r="D15" s="24"/>
      <c r="E15" s="24">
        <v>91530</v>
      </c>
      <c r="F15" s="24">
        <v>1</v>
      </c>
      <c r="G15" s="24">
        <v>519560</v>
      </c>
      <c r="H15" s="24">
        <v>561889</v>
      </c>
      <c r="I15" s="24">
        <v>28470</v>
      </c>
      <c r="J15" s="38">
        <v>5.0700000000000002E-2</v>
      </c>
    </row>
    <row r="16" spans="1:10" x14ac:dyDescent="0.2">
      <c r="A16" s="35" t="s">
        <v>42</v>
      </c>
      <c r="B16" s="24"/>
      <c r="C16" s="24"/>
      <c r="D16" s="24">
        <v>2</v>
      </c>
      <c r="E16" s="24">
        <v>1260767</v>
      </c>
      <c r="F16" s="24">
        <v>3</v>
      </c>
      <c r="G16" s="24">
        <v>4528393</v>
      </c>
      <c r="H16" s="24">
        <v>5111491</v>
      </c>
      <c r="I16" s="24">
        <v>144172</v>
      </c>
      <c r="J16" s="38">
        <v>2.8199999999999999E-2</v>
      </c>
    </row>
    <row r="17" spans="1:10" x14ac:dyDescent="0.2">
      <c r="A17" s="36" t="s">
        <v>73</v>
      </c>
      <c r="B17" s="25">
        <v>332</v>
      </c>
      <c r="C17" s="25">
        <v>377250000</v>
      </c>
      <c r="D17" s="25">
        <v>511</v>
      </c>
      <c r="E17" s="25">
        <v>479416340</v>
      </c>
      <c r="F17" s="25">
        <v>1585</v>
      </c>
      <c r="G17" s="25">
        <v>1294305737</v>
      </c>
      <c r="H17" s="25">
        <v>1327911830</v>
      </c>
      <c r="I17" s="25">
        <v>109797311</v>
      </c>
      <c r="J17" s="39">
        <v>6.8437499999999998E-2</v>
      </c>
    </row>
    <row r="18" spans="1:10" x14ac:dyDescent="0.2">
      <c r="A18" s="35" t="s">
        <v>90</v>
      </c>
      <c r="B18" s="24"/>
      <c r="C18" s="24"/>
      <c r="D18" s="24"/>
      <c r="E18" s="24"/>
      <c r="F18" s="24"/>
      <c r="G18" s="24"/>
      <c r="H18" s="24"/>
      <c r="I18" s="24"/>
      <c r="J18" s="38"/>
    </row>
    <row r="19" spans="1:10" x14ac:dyDescent="0.2">
      <c r="A19" s="35" t="s">
        <v>43</v>
      </c>
      <c r="B19" s="24"/>
      <c r="C19" s="24"/>
      <c r="D19" s="24"/>
      <c r="E19" s="24"/>
      <c r="F19" s="24"/>
      <c r="G19" s="24"/>
      <c r="H19" s="24"/>
      <c r="I19" s="24"/>
      <c r="J19" s="38"/>
    </row>
    <row r="20" spans="1:10" x14ac:dyDescent="0.2">
      <c r="A20" s="35" t="s">
        <v>44</v>
      </c>
      <c r="B20" s="24"/>
      <c r="C20" s="24"/>
      <c r="D20" s="24"/>
      <c r="E20" s="24"/>
      <c r="F20" s="24"/>
      <c r="G20" s="24"/>
      <c r="H20" s="24"/>
      <c r="I20" s="24"/>
      <c r="J20" s="38"/>
    </row>
    <row r="21" spans="1:10" x14ac:dyDescent="0.2">
      <c r="A21" s="35" t="s">
        <v>45</v>
      </c>
      <c r="B21" s="24">
        <v>1</v>
      </c>
      <c r="C21" s="24">
        <v>1170000</v>
      </c>
      <c r="D21" s="24">
        <v>12</v>
      </c>
      <c r="E21" s="24">
        <v>6854629</v>
      </c>
      <c r="F21" s="24">
        <v>13</v>
      </c>
      <c r="G21" s="24">
        <v>11008796</v>
      </c>
      <c r="H21" s="24">
        <v>13252587</v>
      </c>
      <c r="I21" s="24">
        <v>1288380</v>
      </c>
      <c r="J21" s="38">
        <v>9.7199999999999995E-2</v>
      </c>
    </row>
    <row r="22" spans="1:10" x14ac:dyDescent="0.2">
      <c r="A22" s="35" t="s">
        <v>46</v>
      </c>
      <c r="B22" s="24"/>
      <c r="C22" s="24"/>
      <c r="D22" s="24"/>
      <c r="E22" s="24"/>
      <c r="F22" s="24"/>
      <c r="G22" s="24"/>
      <c r="H22" s="24"/>
      <c r="I22" s="24"/>
      <c r="J22" s="38"/>
    </row>
    <row r="23" spans="1:10" ht="24" x14ac:dyDescent="0.2">
      <c r="A23" s="35" t="s">
        <v>47</v>
      </c>
      <c r="B23" s="24">
        <v>8</v>
      </c>
      <c r="C23" s="24">
        <v>13360000</v>
      </c>
      <c r="D23" s="24">
        <v>7</v>
      </c>
      <c r="E23" s="24">
        <v>11943157</v>
      </c>
      <c r="F23" s="24">
        <v>45</v>
      </c>
      <c r="G23" s="24">
        <v>39485221</v>
      </c>
      <c r="H23" s="24">
        <v>39808914</v>
      </c>
      <c r="I23" s="24">
        <v>3544667</v>
      </c>
      <c r="J23" s="38">
        <v>8.8999999999999996E-2</v>
      </c>
    </row>
    <row r="24" spans="1:10" x14ac:dyDescent="0.2">
      <c r="A24" s="35" t="s">
        <v>48</v>
      </c>
      <c r="B24" s="24"/>
      <c r="C24" s="24"/>
      <c r="D24" s="24"/>
      <c r="E24" s="24"/>
      <c r="F24" s="24"/>
      <c r="G24" s="24"/>
      <c r="H24" s="24"/>
      <c r="I24" s="24"/>
      <c r="J24" s="38"/>
    </row>
    <row r="25" spans="1:10" x14ac:dyDescent="0.2">
      <c r="A25" s="35" t="s">
        <v>49</v>
      </c>
      <c r="B25" s="24">
        <v>17</v>
      </c>
      <c r="C25" s="24">
        <v>26220000</v>
      </c>
      <c r="D25" s="24">
        <v>42</v>
      </c>
      <c r="E25" s="24">
        <v>45337360</v>
      </c>
      <c r="F25" s="24">
        <v>151</v>
      </c>
      <c r="G25" s="24">
        <v>121025432</v>
      </c>
      <c r="H25" s="24">
        <v>125878419</v>
      </c>
      <c r="I25" s="24">
        <v>12005810</v>
      </c>
      <c r="J25" s="38">
        <v>9.5399999999999999E-2</v>
      </c>
    </row>
    <row r="26" spans="1:10" x14ac:dyDescent="0.2">
      <c r="A26" s="35" t="s">
        <v>111</v>
      </c>
      <c r="B26" s="24"/>
      <c r="C26" s="24"/>
      <c r="D26" s="24"/>
      <c r="E26" s="24"/>
      <c r="F26" s="24"/>
      <c r="G26" s="24"/>
      <c r="H26" s="24"/>
      <c r="I26" s="24"/>
      <c r="J26" s="38"/>
    </row>
    <row r="27" spans="1:10" ht="24" x14ac:dyDescent="0.2">
      <c r="A27" s="35" t="s">
        <v>91</v>
      </c>
      <c r="B27" s="24"/>
      <c r="C27" s="24"/>
      <c r="D27" s="24"/>
      <c r="E27" s="24"/>
      <c r="F27" s="24"/>
      <c r="G27" s="24"/>
      <c r="H27" s="24"/>
      <c r="I27" s="24"/>
      <c r="J27" s="38"/>
    </row>
    <row r="28" spans="1:10" x14ac:dyDescent="0.2">
      <c r="A28" s="35" t="s">
        <v>110</v>
      </c>
      <c r="B28" s="24"/>
      <c r="C28" s="24"/>
      <c r="D28" s="24"/>
      <c r="E28" s="24"/>
      <c r="F28" s="24"/>
      <c r="G28" s="24"/>
      <c r="H28" s="24"/>
      <c r="I28" s="24"/>
      <c r="J28" s="38"/>
    </row>
    <row r="29" spans="1:10" x14ac:dyDescent="0.2">
      <c r="A29" s="35" t="s">
        <v>112</v>
      </c>
      <c r="B29" s="24"/>
      <c r="C29" s="24"/>
      <c r="D29" s="24"/>
      <c r="E29" s="24"/>
      <c r="F29" s="24"/>
      <c r="G29" s="24"/>
      <c r="H29" s="24"/>
      <c r="I29" s="24"/>
      <c r="J29" s="38"/>
    </row>
    <row r="30" spans="1:10" x14ac:dyDescent="0.2">
      <c r="A30" s="35" t="s">
        <v>113</v>
      </c>
      <c r="B30" s="24"/>
      <c r="C30" s="24"/>
      <c r="D30" s="24"/>
      <c r="E30" s="24"/>
      <c r="F30" s="24"/>
      <c r="G30" s="24"/>
      <c r="H30" s="24"/>
      <c r="I30" s="24"/>
      <c r="J30" s="38"/>
    </row>
    <row r="31" spans="1:10" x14ac:dyDescent="0.2">
      <c r="A31" s="36" t="s">
        <v>73</v>
      </c>
      <c r="B31" s="25">
        <v>26</v>
      </c>
      <c r="C31" s="25">
        <v>40750000</v>
      </c>
      <c r="D31" s="25">
        <v>61</v>
      </c>
      <c r="E31" s="25">
        <v>64135146</v>
      </c>
      <c r="F31" s="25">
        <v>209</v>
      </c>
      <c r="G31" s="25">
        <v>171519449</v>
      </c>
      <c r="H31" s="25">
        <v>178939920</v>
      </c>
      <c r="I31" s="25">
        <v>16838857</v>
      </c>
      <c r="J31" s="39">
        <v>9.3866666666666654E-2</v>
      </c>
    </row>
    <row r="32" spans="1:10" x14ac:dyDescent="0.2">
      <c r="A32" s="35" t="s">
        <v>50</v>
      </c>
      <c r="B32" s="24">
        <v>4</v>
      </c>
      <c r="C32" s="24">
        <v>26200000</v>
      </c>
      <c r="D32" s="24">
        <v>9</v>
      </c>
      <c r="E32" s="24">
        <v>51725141</v>
      </c>
      <c r="F32" s="24">
        <v>76</v>
      </c>
      <c r="G32" s="24">
        <v>275988292</v>
      </c>
      <c r="H32" s="24">
        <v>292958527</v>
      </c>
      <c r="I32" s="24">
        <v>18074905</v>
      </c>
      <c r="J32" s="38">
        <v>6.1699999999999998E-2</v>
      </c>
    </row>
    <row r="33" spans="1:10" x14ac:dyDescent="0.2">
      <c r="A33" s="35" t="s">
        <v>114</v>
      </c>
      <c r="B33" s="24"/>
      <c r="C33" s="24"/>
      <c r="D33" s="24"/>
      <c r="E33" s="24"/>
      <c r="F33" s="24"/>
      <c r="G33" s="24"/>
      <c r="H33" s="24"/>
      <c r="I33" s="24"/>
      <c r="J33" s="38"/>
    </row>
    <row r="34" spans="1:10" x14ac:dyDescent="0.2">
      <c r="A34" s="35" t="s">
        <v>51</v>
      </c>
      <c r="B34" s="24"/>
      <c r="C34" s="24"/>
      <c r="D34" s="24"/>
      <c r="E34" s="24"/>
      <c r="F34" s="24"/>
      <c r="G34" s="24"/>
      <c r="H34" s="24"/>
      <c r="I34" s="24"/>
      <c r="J34" s="38"/>
    </row>
    <row r="35" spans="1:10" x14ac:dyDescent="0.2">
      <c r="A35" s="35" t="s">
        <v>52</v>
      </c>
      <c r="B35" s="24"/>
      <c r="C35" s="24"/>
      <c r="D35" s="24"/>
      <c r="E35" s="24">
        <v>131360</v>
      </c>
      <c r="F35" s="24">
        <v>1</v>
      </c>
      <c r="G35" s="24">
        <v>302218</v>
      </c>
      <c r="H35" s="24">
        <v>363828</v>
      </c>
      <c r="I35" s="24">
        <v>48640</v>
      </c>
      <c r="J35" s="38">
        <v>0.13370000000000001</v>
      </c>
    </row>
    <row r="36" spans="1:10" x14ac:dyDescent="0.2">
      <c r="A36" s="35" t="s">
        <v>71</v>
      </c>
      <c r="B36" s="24"/>
      <c r="C36" s="24"/>
      <c r="D36" s="24"/>
      <c r="E36" s="24"/>
      <c r="F36" s="24"/>
      <c r="G36" s="24"/>
      <c r="H36" s="24"/>
      <c r="I36" s="24"/>
      <c r="J36" s="38"/>
    </row>
    <row r="37" spans="1:10" x14ac:dyDescent="0.2">
      <c r="A37" s="35" t="s">
        <v>82</v>
      </c>
      <c r="B37" s="24"/>
      <c r="C37" s="24"/>
      <c r="D37" s="24"/>
      <c r="E37" s="24"/>
      <c r="F37" s="24"/>
      <c r="G37" s="24"/>
      <c r="H37" s="24"/>
      <c r="I37" s="24"/>
      <c r="J37" s="38"/>
    </row>
    <row r="38" spans="1:10" x14ac:dyDescent="0.2">
      <c r="A38" s="36" t="s">
        <v>73</v>
      </c>
      <c r="B38" s="25">
        <v>4</v>
      </c>
      <c r="C38" s="25">
        <v>26200000</v>
      </c>
      <c r="D38" s="25">
        <v>9</v>
      </c>
      <c r="E38" s="25">
        <v>51856501</v>
      </c>
      <c r="F38" s="25">
        <v>77</v>
      </c>
      <c r="G38" s="25">
        <v>276290510</v>
      </c>
      <c r="H38" s="25">
        <v>293322355</v>
      </c>
      <c r="I38" s="25">
        <v>18123545</v>
      </c>
      <c r="J38" s="39">
        <v>9.7700000000000009E-2</v>
      </c>
    </row>
    <row r="39" spans="1:10" ht="24" x14ac:dyDescent="0.2">
      <c r="A39" s="35" t="s">
        <v>87</v>
      </c>
      <c r="B39" s="24"/>
      <c r="C39" s="24"/>
      <c r="D39" s="24"/>
      <c r="E39" s="24"/>
      <c r="F39" s="24"/>
      <c r="G39" s="24"/>
      <c r="H39" s="24"/>
      <c r="I39" s="24"/>
      <c r="J39" s="38"/>
    </row>
    <row r="40" spans="1:10" x14ac:dyDescent="0.2">
      <c r="A40" s="35" t="s">
        <v>94</v>
      </c>
      <c r="B40" s="24"/>
      <c r="C40" s="24"/>
      <c r="D40" s="24"/>
      <c r="E40" s="24"/>
      <c r="F40" s="24"/>
      <c r="G40" s="24"/>
      <c r="H40" s="24"/>
      <c r="I40" s="24"/>
      <c r="J40" s="38"/>
    </row>
    <row r="41" spans="1:10" x14ac:dyDescent="0.2">
      <c r="A41" s="35" t="s">
        <v>53</v>
      </c>
      <c r="B41" s="24">
        <v>105</v>
      </c>
      <c r="C41" s="24">
        <v>59130000</v>
      </c>
      <c r="D41" s="24">
        <v>154</v>
      </c>
      <c r="E41" s="24">
        <v>111576580</v>
      </c>
      <c r="F41" s="24">
        <v>332</v>
      </c>
      <c r="G41" s="24">
        <v>226052982</v>
      </c>
      <c r="H41" s="24">
        <v>246315394</v>
      </c>
      <c r="I41" s="24">
        <v>22810557</v>
      </c>
      <c r="J41" s="38">
        <v>9.2600000000000002E-2</v>
      </c>
    </row>
    <row r="42" spans="1:10" x14ac:dyDescent="0.2">
      <c r="A42" s="35" t="s">
        <v>54</v>
      </c>
      <c r="B42" s="24"/>
      <c r="C42" s="24"/>
      <c r="D42" s="24"/>
      <c r="E42" s="24"/>
      <c r="F42" s="24"/>
      <c r="G42" s="24"/>
      <c r="H42" s="24"/>
      <c r="I42" s="24"/>
      <c r="J42" s="38"/>
    </row>
    <row r="43" spans="1:10" x14ac:dyDescent="0.2">
      <c r="A43" s="35" t="s">
        <v>55</v>
      </c>
      <c r="B43" s="24"/>
      <c r="C43" s="24"/>
      <c r="D43" s="24"/>
      <c r="E43" s="24"/>
      <c r="F43" s="24"/>
      <c r="G43" s="24"/>
      <c r="H43" s="24"/>
      <c r="I43" s="24"/>
      <c r="J43" s="38"/>
    </row>
    <row r="44" spans="1:10" x14ac:dyDescent="0.2">
      <c r="A44" s="35" t="s">
        <v>56</v>
      </c>
      <c r="B44" s="24"/>
      <c r="C44" s="24"/>
      <c r="D44" s="24">
        <v>1</v>
      </c>
      <c r="E44" s="24">
        <v>494133</v>
      </c>
      <c r="F44" s="24">
        <v>4</v>
      </c>
      <c r="G44" s="24">
        <v>1986756</v>
      </c>
      <c r="H44" s="24">
        <v>2213366</v>
      </c>
      <c r="I44" s="24">
        <v>127452</v>
      </c>
      <c r="J44" s="38">
        <v>5.7599999999999998E-2</v>
      </c>
    </row>
    <row r="45" spans="1:10" x14ac:dyDescent="0.2">
      <c r="A45" s="35" t="s">
        <v>57</v>
      </c>
      <c r="B45" s="24"/>
      <c r="C45" s="24"/>
      <c r="D45" s="24"/>
      <c r="E45" s="24"/>
      <c r="F45" s="24"/>
      <c r="G45" s="24"/>
      <c r="H45" s="24"/>
      <c r="I45" s="24"/>
      <c r="J45" s="38"/>
    </row>
    <row r="46" spans="1:10" x14ac:dyDescent="0.2">
      <c r="A46" s="35" t="s">
        <v>69</v>
      </c>
      <c r="B46" s="24"/>
      <c r="C46" s="24"/>
      <c r="D46" s="24"/>
      <c r="E46" s="24"/>
      <c r="F46" s="24"/>
      <c r="G46" s="24"/>
      <c r="H46" s="24"/>
      <c r="I46" s="24"/>
      <c r="J46" s="38"/>
    </row>
    <row r="47" spans="1:10" x14ac:dyDescent="0.2">
      <c r="A47" s="36" t="s">
        <v>73</v>
      </c>
      <c r="B47" s="25">
        <v>105</v>
      </c>
      <c r="C47" s="25">
        <v>59130000</v>
      </c>
      <c r="D47" s="25">
        <v>155</v>
      </c>
      <c r="E47" s="25">
        <v>112070713</v>
      </c>
      <c r="F47" s="25">
        <v>336</v>
      </c>
      <c r="G47" s="25">
        <v>228039738</v>
      </c>
      <c r="H47" s="25">
        <v>248528760</v>
      </c>
      <c r="I47" s="25">
        <v>22938009</v>
      </c>
      <c r="J47" s="39">
        <v>7.51E-2</v>
      </c>
    </row>
    <row r="48" spans="1:10" x14ac:dyDescent="0.2">
      <c r="A48" s="35" t="s">
        <v>58</v>
      </c>
      <c r="B48" s="24"/>
      <c r="C48" s="24"/>
      <c r="D48" s="24">
        <v>3</v>
      </c>
      <c r="E48" s="24">
        <v>2397680</v>
      </c>
      <c r="F48" s="24">
        <v>2</v>
      </c>
      <c r="G48" s="24">
        <v>1245377</v>
      </c>
      <c r="H48" s="24">
        <v>2686824</v>
      </c>
      <c r="I48" s="24">
        <v>193960</v>
      </c>
      <c r="J48" s="38">
        <v>7.22E-2</v>
      </c>
    </row>
    <row r="49" spans="1:10" ht="24" x14ac:dyDescent="0.2">
      <c r="A49" s="35" t="s">
        <v>59</v>
      </c>
      <c r="B49" s="24"/>
      <c r="C49" s="24"/>
      <c r="D49" s="24"/>
      <c r="E49" s="24"/>
      <c r="F49" s="24"/>
      <c r="G49" s="24"/>
      <c r="H49" s="24"/>
      <c r="I49" s="24"/>
      <c r="J49" s="38"/>
    </row>
    <row r="50" spans="1:10" ht="24" x14ac:dyDescent="0.2">
      <c r="A50" s="35" t="s">
        <v>88</v>
      </c>
      <c r="B50" s="24"/>
      <c r="C50" s="24"/>
      <c r="D50" s="24"/>
      <c r="E50" s="24"/>
      <c r="F50" s="24"/>
      <c r="G50" s="24"/>
      <c r="H50" s="24"/>
      <c r="I50" s="24"/>
      <c r="J50" s="38"/>
    </row>
    <row r="51" spans="1:10" x14ac:dyDescent="0.2">
      <c r="A51" s="35" t="s">
        <v>79</v>
      </c>
      <c r="B51" s="24"/>
      <c r="C51" s="24"/>
      <c r="D51" s="24"/>
      <c r="E51" s="24"/>
      <c r="F51" s="24"/>
      <c r="G51" s="24"/>
      <c r="H51" s="24"/>
      <c r="I51" s="24"/>
      <c r="J51" s="38"/>
    </row>
    <row r="52" spans="1:10" x14ac:dyDescent="0.2">
      <c r="A52" s="36" t="s">
        <v>73</v>
      </c>
      <c r="B52" s="25">
        <v>0</v>
      </c>
      <c r="C52" s="25">
        <v>0</v>
      </c>
      <c r="D52" s="25">
        <v>3</v>
      </c>
      <c r="E52" s="25">
        <v>2397680</v>
      </c>
      <c r="F52" s="25">
        <v>2</v>
      </c>
      <c r="G52" s="25">
        <v>1245377</v>
      </c>
      <c r="H52" s="25">
        <v>2686824</v>
      </c>
      <c r="I52" s="25">
        <v>193960</v>
      </c>
      <c r="J52" s="39">
        <v>7.22E-2</v>
      </c>
    </row>
    <row r="53" spans="1:10" x14ac:dyDescent="0.2">
      <c r="A53" s="35" t="s">
        <v>60</v>
      </c>
      <c r="B53" s="24">
        <v>3</v>
      </c>
      <c r="C53" s="24">
        <v>5410000</v>
      </c>
      <c r="D53" s="24">
        <v>4</v>
      </c>
      <c r="E53" s="24">
        <v>3451369</v>
      </c>
      <c r="F53" s="24">
        <v>12</v>
      </c>
      <c r="G53" s="24">
        <v>14578530</v>
      </c>
      <c r="H53" s="24">
        <v>11432878</v>
      </c>
      <c r="I53" s="24">
        <v>704942</v>
      </c>
      <c r="J53" s="38">
        <v>6.1699999999999998E-2</v>
      </c>
    </row>
    <row r="54" spans="1:10" x14ac:dyDescent="0.2">
      <c r="A54" s="36" t="s">
        <v>73</v>
      </c>
      <c r="B54" s="25">
        <v>3</v>
      </c>
      <c r="C54" s="25">
        <v>5410000</v>
      </c>
      <c r="D54" s="25">
        <v>4</v>
      </c>
      <c r="E54" s="25">
        <v>3451369</v>
      </c>
      <c r="F54" s="25">
        <v>12</v>
      </c>
      <c r="G54" s="25">
        <v>14578530</v>
      </c>
      <c r="H54" s="25">
        <v>11432878</v>
      </c>
      <c r="I54" s="25">
        <v>704942</v>
      </c>
      <c r="J54" s="39">
        <v>6.1699999999999998E-2</v>
      </c>
    </row>
    <row r="55" spans="1:10" x14ac:dyDescent="0.2">
      <c r="A55" s="35" t="s">
        <v>70</v>
      </c>
      <c r="B55" s="24"/>
      <c r="C55" s="24"/>
      <c r="D55" s="24"/>
      <c r="E55" s="24"/>
      <c r="F55" s="24"/>
      <c r="G55" s="24"/>
      <c r="H55" s="24"/>
      <c r="I55" s="24"/>
      <c r="J55" s="38"/>
    </row>
    <row r="56" spans="1:10" x14ac:dyDescent="0.2">
      <c r="A56" s="36" t="s">
        <v>73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39" t="s">
        <v>184</v>
      </c>
    </row>
    <row r="57" spans="1:10" x14ac:dyDescent="0.2">
      <c r="A57" s="35" t="s">
        <v>75</v>
      </c>
      <c r="B57" s="24"/>
      <c r="C57" s="24"/>
      <c r="D57" s="24"/>
      <c r="E57" s="24"/>
      <c r="F57" s="24"/>
      <c r="G57" s="24"/>
      <c r="H57" s="24"/>
      <c r="I57" s="24"/>
      <c r="J57" s="38"/>
    </row>
    <row r="58" spans="1:10" x14ac:dyDescent="0.2">
      <c r="A58" s="36" t="s">
        <v>73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39" t="s">
        <v>184</v>
      </c>
    </row>
    <row r="59" spans="1:10" x14ac:dyDescent="0.2">
      <c r="A59" s="35" t="s">
        <v>85</v>
      </c>
      <c r="B59" s="24"/>
      <c r="C59" s="24"/>
      <c r="D59" s="24"/>
      <c r="E59" s="24"/>
      <c r="F59" s="24"/>
      <c r="G59" s="24"/>
      <c r="H59" s="24"/>
      <c r="I59" s="24"/>
      <c r="J59" s="38"/>
    </row>
    <row r="60" spans="1:10" x14ac:dyDescent="0.2">
      <c r="A60" s="36" t="s">
        <v>73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39" t="s">
        <v>184</v>
      </c>
    </row>
    <row r="61" spans="1:10" x14ac:dyDescent="0.2">
      <c r="A61" s="35" t="s">
        <v>89</v>
      </c>
      <c r="B61" s="24"/>
      <c r="C61" s="24"/>
      <c r="D61" s="24"/>
      <c r="E61" s="24"/>
      <c r="F61" s="24"/>
      <c r="G61" s="24"/>
      <c r="H61" s="24"/>
      <c r="I61" s="24"/>
      <c r="J61" s="38"/>
    </row>
    <row r="62" spans="1:10" x14ac:dyDescent="0.2">
      <c r="A62" s="36" t="s">
        <v>73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39" t="s">
        <v>184</v>
      </c>
    </row>
    <row r="63" spans="1:10" ht="13.5" thickBot="1" x14ac:dyDescent="0.25">
      <c r="A63" s="37" t="s">
        <v>61</v>
      </c>
      <c r="B63" s="40">
        <v>470</v>
      </c>
      <c r="C63" s="40">
        <v>508740000</v>
      </c>
      <c r="D63" s="40">
        <v>743</v>
      </c>
      <c r="E63" s="40">
        <v>713327749</v>
      </c>
      <c r="F63" s="40">
        <v>2221</v>
      </c>
      <c r="G63" s="40">
        <v>1985979341</v>
      </c>
      <c r="H63" s="40">
        <v>2062822567</v>
      </c>
      <c r="I63" s="40">
        <v>168596624</v>
      </c>
      <c r="J63" s="41">
        <v>8.1731035280069239E-2</v>
      </c>
    </row>
    <row r="65" spans="10:10" x14ac:dyDescent="0.2">
      <c r="J65" s="32"/>
    </row>
  </sheetData>
  <phoneticPr fontId="2"/>
  <pageMargins left="0.7" right="0.7" top="0.75" bottom="0.75" header="0.3" footer="0.3"/>
  <pageSetup paperSize="9" scale="7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31812-4C77-4DDA-B45F-9CD5C575DBEC}">
  <sheetPr>
    <pageSetUpPr fitToPage="1"/>
  </sheetPr>
  <dimension ref="A1:AR76"/>
  <sheetViews>
    <sheetView zoomScale="96" zoomScaleNormal="96" zoomScaleSheetLayoutView="80" workbookViewId="0">
      <selection activeCell="S79" sqref="S79"/>
    </sheetView>
  </sheetViews>
  <sheetFormatPr defaultColWidth="9.08984375" defaultRowHeight="12" x14ac:dyDescent="0.2"/>
  <cols>
    <col min="1" max="1" width="15.81640625" style="33" customWidth="1"/>
    <col min="2" max="2" width="10.90625" style="7" customWidth="1"/>
    <col min="3" max="3" width="11.6328125" style="7" customWidth="1"/>
    <col min="4" max="5" width="9.90625" style="7" bestFit="1" customWidth="1"/>
    <col min="6" max="6" width="10.7265625" style="7" customWidth="1"/>
    <col min="7" max="8" width="9.90625" style="7" bestFit="1" customWidth="1"/>
    <col min="9" max="9" width="10.7265625" style="7" customWidth="1"/>
    <col min="10" max="13" width="11" style="7" bestFit="1" customWidth="1"/>
    <col min="14" max="14" width="10.7265625" style="7" customWidth="1"/>
    <col min="15" max="15" width="11" style="7" bestFit="1" customWidth="1"/>
    <col min="16" max="16" width="9.54296875" style="7" customWidth="1"/>
    <col min="17" max="17" width="11" style="7" bestFit="1" customWidth="1"/>
    <col min="18" max="18" width="9.7265625" style="7" customWidth="1"/>
    <col min="19" max="19" width="10.90625" style="7" customWidth="1"/>
    <col min="20" max="20" width="10.7265625" style="7" customWidth="1"/>
    <col min="21" max="21" width="12.08984375" style="7" bestFit="1" customWidth="1"/>
    <col min="22" max="22" width="9.81640625" style="7" customWidth="1"/>
    <col min="23" max="25" width="12.08984375" style="7" bestFit="1" customWidth="1"/>
    <col min="26" max="26" width="9.90625" style="7" customWidth="1"/>
    <col min="27" max="27" width="12.08984375" style="7" bestFit="1" customWidth="1"/>
    <col min="28" max="28" width="10.453125" style="7" customWidth="1"/>
    <col min="29" max="31" width="12.08984375" style="7" bestFit="1" customWidth="1"/>
    <col min="32" max="32" width="10.453125" style="7" customWidth="1"/>
    <col min="33" max="44" width="12.08984375" style="7" bestFit="1" customWidth="1"/>
    <col min="45" max="16384" width="9.08984375" style="5"/>
  </cols>
  <sheetData>
    <row r="1" spans="1:44" x14ac:dyDescent="0.2">
      <c r="A1" s="33" t="s">
        <v>62</v>
      </c>
      <c r="B1" s="7" t="s">
        <v>244</v>
      </c>
    </row>
    <row r="2" spans="1:44" ht="12.5" thickBot="1" x14ac:dyDescent="0.25">
      <c r="A2" s="5"/>
      <c r="B2" s="6" t="s">
        <v>138</v>
      </c>
      <c r="C2" s="6" t="s">
        <v>139</v>
      </c>
      <c r="D2" s="6" t="s">
        <v>140</v>
      </c>
      <c r="E2" s="6" t="s">
        <v>141</v>
      </c>
      <c r="F2" s="6" t="s">
        <v>142</v>
      </c>
      <c r="G2" s="6" t="s">
        <v>143</v>
      </c>
      <c r="H2" s="6" t="s">
        <v>144</v>
      </c>
      <c r="I2" s="6" t="s">
        <v>145</v>
      </c>
      <c r="J2" s="6" t="s">
        <v>146</v>
      </c>
      <c r="K2" s="6" t="s">
        <v>150</v>
      </c>
      <c r="L2" s="6" t="s">
        <v>151</v>
      </c>
      <c r="M2" s="6" t="s">
        <v>152</v>
      </c>
      <c r="N2" s="6" t="s">
        <v>153</v>
      </c>
      <c r="O2" s="6" t="s">
        <v>154</v>
      </c>
      <c r="P2" s="6" t="s">
        <v>155</v>
      </c>
      <c r="Q2" s="6" t="s">
        <v>156</v>
      </c>
      <c r="R2" s="6" t="s">
        <v>157</v>
      </c>
      <c r="S2" s="6" t="s">
        <v>158</v>
      </c>
      <c r="T2" s="6" t="s">
        <v>159</v>
      </c>
      <c r="U2" s="6" t="s">
        <v>160</v>
      </c>
      <c r="V2" s="6" t="s">
        <v>161</v>
      </c>
      <c r="W2" s="6" t="s">
        <v>162</v>
      </c>
      <c r="X2" s="6" t="s">
        <v>163</v>
      </c>
      <c r="Y2" s="6" t="s">
        <v>164</v>
      </c>
      <c r="Z2" s="6" t="s">
        <v>165</v>
      </c>
      <c r="AA2" s="6" t="s">
        <v>166</v>
      </c>
      <c r="AB2" s="6" t="s">
        <v>167</v>
      </c>
      <c r="AC2" s="6" t="s">
        <v>168</v>
      </c>
      <c r="AD2" s="6" t="s">
        <v>169</v>
      </c>
      <c r="AE2" s="6" t="s">
        <v>170</v>
      </c>
      <c r="AF2" s="6" t="s">
        <v>171</v>
      </c>
      <c r="AG2" s="6" t="s">
        <v>172</v>
      </c>
      <c r="AH2" s="6" t="s">
        <v>173</v>
      </c>
      <c r="AI2" s="6" t="s">
        <v>174</v>
      </c>
      <c r="AJ2" s="6" t="s">
        <v>175</v>
      </c>
      <c r="AK2" s="6" t="s">
        <v>176</v>
      </c>
      <c r="AL2" s="6" t="s">
        <v>177</v>
      </c>
      <c r="AM2" s="6" t="s">
        <v>178</v>
      </c>
      <c r="AN2" s="6" t="s">
        <v>179</v>
      </c>
      <c r="AO2" s="6" t="s">
        <v>180</v>
      </c>
      <c r="AP2" s="6" t="s">
        <v>181</v>
      </c>
      <c r="AQ2" s="6" t="s">
        <v>182</v>
      </c>
      <c r="AR2" s="6" t="s">
        <v>183</v>
      </c>
    </row>
    <row r="3" spans="1:44" x14ac:dyDescent="0.2">
      <c r="A3" s="3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4" x14ac:dyDescent="0.2">
      <c r="A4" s="35" t="s">
        <v>72</v>
      </c>
      <c r="B4" s="24">
        <v>77750</v>
      </c>
      <c r="C4" s="24">
        <v>400000</v>
      </c>
      <c r="D4" s="24">
        <v>298333.33333333331</v>
      </c>
      <c r="E4" s="24">
        <v>313333.33333333331</v>
      </c>
      <c r="F4" s="24">
        <v>354545.45454545453</v>
      </c>
      <c r="G4" s="24">
        <v>685714.28571428568</v>
      </c>
      <c r="H4" s="24">
        <v>335000</v>
      </c>
      <c r="I4" s="24">
        <v>529444.4444444445</v>
      </c>
      <c r="J4" s="24">
        <v>531648.1481481482</v>
      </c>
      <c r="K4" s="24">
        <v>745765.43209876539</v>
      </c>
      <c r="L4" s="24">
        <v>874745.76271186443</v>
      </c>
      <c r="M4" s="24">
        <v>876632.6530612245</v>
      </c>
      <c r="N4" s="24">
        <v>1055333.388888889</v>
      </c>
      <c r="O4" s="24">
        <v>1721937.0333333334</v>
      </c>
      <c r="P4" s="24">
        <v>1575103.7985611511</v>
      </c>
      <c r="Q4" s="24">
        <v>1955428.768041237</v>
      </c>
      <c r="R4" s="24">
        <v>2099661.5606060605</v>
      </c>
      <c r="S4" s="24">
        <v>1999151.1278688523</v>
      </c>
      <c r="T4" s="24">
        <v>2497803.0964285713</v>
      </c>
      <c r="U4" s="24">
        <v>2696014.0133333332</v>
      </c>
      <c r="V4" s="24">
        <v>2222467.0396226416</v>
      </c>
      <c r="W4" s="24">
        <v>2390211.3166023167</v>
      </c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1:44" x14ac:dyDescent="0.2">
      <c r="A5" s="35" t="s">
        <v>109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</row>
    <row r="6" spans="1:44" ht="24" x14ac:dyDescent="0.2">
      <c r="A6" s="35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>
        <v>457647.0588235294</v>
      </c>
      <c r="AL6" s="24"/>
      <c r="AM6" s="24"/>
      <c r="AN6" s="24"/>
      <c r="AO6" s="24"/>
      <c r="AP6" s="24"/>
      <c r="AQ6" s="24"/>
      <c r="AR6" s="24"/>
    </row>
    <row r="7" spans="1:44" x14ac:dyDescent="0.2">
      <c r="A7" s="35" t="s">
        <v>34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2670593.5454545454</v>
      </c>
      <c r="Y7" s="24">
        <v>2691162.7906976743</v>
      </c>
      <c r="Z7" s="24">
        <v>2556039.6039603963</v>
      </c>
      <c r="AA7" s="24">
        <v>2639055.6492411466</v>
      </c>
      <c r="AB7" s="24">
        <v>2510889.4267912772</v>
      </c>
      <c r="AC7" s="24">
        <v>2467796.0203488371</v>
      </c>
      <c r="AD7" s="24">
        <v>2406496.9604863222</v>
      </c>
      <c r="AE7" s="24">
        <v>2472832.7645051195</v>
      </c>
      <c r="AF7" s="24">
        <v>2239654.036243822</v>
      </c>
      <c r="AG7" s="24">
        <v>2111996.8895800933</v>
      </c>
      <c r="AH7" s="24">
        <v>1871923.8399071926</v>
      </c>
      <c r="AI7" s="24">
        <v>1955544.3037974683</v>
      </c>
      <c r="AJ7" s="24">
        <v>1832527.1739130435</v>
      </c>
      <c r="AK7" s="24">
        <v>1663049.645390071</v>
      </c>
      <c r="AL7" s="24">
        <v>1760973.4513274336</v>
      </c>
      <c r="AM7" s="24">
        <v>1518248.5875706214</v>
      </c>
      <c r="AN7" s="24">
        <v>1661005.9171597634</v>
      </c>
      <c r="AO7" s="24">
        <v>1770606.0606060605</v>
      </c>
      <c r="AP7" s="24">
        <v>1692432.4324324324</v>
      </c>
      <c r="AQ7" s="24">
        <v>1617678.5714285714</v>
      </c>
      <c r="AR7" s="24">
        <v>1834285.7142857143</v>
      </c>
    </row>
    <row r="8" spans="1:44" x14ac:dyDescent="0.2">
      <c r="A8" s="35" t="s">
        <v>35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>
        <v>300000</v>
      </c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</row>
    <row r="9" spans="1:44" x14ac:dyDescent="0.2">
      <c r="A9" s="35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>
        <v>4031818.1818181816</v>
      </c>
      <c r="Y9" s="24">
        <v>2488500</v>
      </c>
      <c r="Z9" s="24">
        <v>2700000</v>
      </c>
      <c r="AA9" s="24">
        <v>2473076.923076923</v>
      </c>
      <c r="AB9" s="24">
        <v>2800000</v>
      </c>
      <c r="AC9" s="24">
        <v>2825000</v>
      </c>
      <c r="AD9" s="24">
        <v>2371428.5714285714</v>
      </c>
      <c r="AE9" s="24">
        <v>2980000</v>
      </c>
      <c r="AF9" s="24">
        <v>2825000</v>
      </c>
      <c r="AG9" s="24">
        <v>2550000</v>
      </c>
      <c r="AH9" s="24">
        <v>4250000</v>
      </c>
      <c r="AI9" s="24">
        <v>1248948.6276595744</v>
      </c>
      <c r="AJ9" s="24">
        <v>2329090.9090909092</v>
      </c>
      <c r="AK9" s="24">
        <v>1960250</v>
      </c>
      <c r="AL9" s="24"/>
      <c r="AM9" s="24"/>
      <c r="AN9" s="24"/>
      <c r="AO9" s="24"/>
      <c r="AP9" s="24"/>
      <c r="AQ9" s="24"/>
      <c r="AR9" s="24"/>
    </row>
    <row r="10" spans="1:44" x14ac:dyDescent="0.2">
      <c r="A10" s="35" t="s">
        <v>37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>
        <v>2877424.2424242422</v>
      </c>
      <c r="Y10" s="24">
        <v>2950088.4955752213</v>
      </c>
      <c r="Z10" s="24">
        <v>3132509.6525096525</v>
      </c>
      <c r="AA10" s="24">
        <v>3125775.8620689656</v>
      </c>
      <c r="AB10" s="24">
        <v>3024742.2680412373</v>
      </c>
      <c r="AC10" s="24">
        <v>3072513.966480447</v>
      </c>
      <c r="AD10" s="24">
        <v>3041578.9473684211</v>
      </c>
      <c r="AE10" s="24">
        <v>2777882.3529411764</v>
      </c>
      <c r="AF10" s="24">
        <v>2816081.0810810812</v>
      </c>
      <c r="AG10" s="24">
        <v>2426761.9047619049</v>
      </c>
      <c r="AH10" s="24">
        <v>2495524.3673469387</v>
      </c>
      <c r="AI10" s="24">
        <v>2186666.6666666665</v>
      </c>
      <c r="AJ10" s="24">
        <v>2256162.7906976743</v>
      </c>
      <c r="AK10" s="24">
        <v>2032500</v>
      </c>
      <c r="AL10" s="24">
        <v>2900909.0909090908</v>
      </c>
      <c r="AM10" s="24">
        <v>1820000</v>
      </c>
      <c r="AN10" s="24">
        <v>1976400</v>
      </c>
      <c r="AO10" s="24">
        <v>2248333.3333333335</v>
      </c>
      <c r="AP10" s="24">
        <v>2100000</v>
      </c>
      <c r="AQ10" s="24">
        <v>1758000</v>
      </c>
      <c r="AR10" s="24">
        <v>2663076.923076923</v>
      </c>
    </row>
    <row r="11" spans="1:44" x14ac:dyDescent="0.2">
      <c r="A11" s="35" t="s">
        <v>38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>
        <v>176666.66666666666</v>
      </c>
      <c r="AI11" s="24">
        <v>257000</v>
      </c>
      <c r="AJ11" s="24">
        <v>328404.25531914894</v>
      </c>
      <c r="AK11" s="24">
        <v>333055.55555555556</v>
      </c>
      <c r="AL11" s="24">
        <v>413883.49514563108</v>
      </c>
      <c r="AM11" s="24">
        <v>423393.50180505414</v>
      </c>
      <c r="AN11" s="24">
        <v>437482.26950354612</v>
      </c>
      <c r="AO11" s="24">
        <v>434630.35019455251</v>
      </c>
      <c r="AP11" s="24">
        <v>490104.16666666669</v>
      </c>
      <c r="AQ11" s="24">
        <v>445355.19125683059</v>
      </c>
      <c r="AR11" s="24">
        <v>452981.36645962734</v>
      </c>
    </row>
    <row r="12" spans="1:44" x14ac:dyDescent="0.2">
      <c r="A12" s="35" t="s">
        <v>39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>
        <v>435000</v>
      </c>
      <c r="AK12" s="24">
        <v>561694.91525423725</v>
      </c>
      <c r="AL12" s="24">
        <v>585145.63106796122</v>
      </c>
      <c r="AM12" s="24">
        <v>716666.66666666663</v>
      </c>
      <c r="AN12" s="24">
        <v>663823.5294117647</v>
      </c>
      <c r="AO12" s="24">
        <v>688000</v>
      </c>
      <c r="AP12" s="24">
        <v>600000</v>
      </c>
      <c r="AQ12" s="24">
        <v>764000</v>
      </c>
      <c r="AR12" s="24">
        <v>716666.66666666663</v>
      </c>
    </row>
    <row r="13" spans="1:44" x14ac:dyDescent="0.2">
      <c r="A13" s="35" t="s">
        <v>40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1089142.857142857</v>
      </c>
      <c r="Y13" s="24">
        <v>1165512.8205128205</v>
      </c>
      <c r="Z13" s="24">
        <v>1236430.3797468354</v>
      </c>
      <c r="AA13" s="24">
        <v>975416.66666666663</v>
      </c>
      <c r="AB13" s="24">
        <v>1139666.6666666667</v>
      </c>
      <c r="AC13" s="24">
        <v>961276.59574468085</v>
      </c>
      <c r="AD13" s="24">
        <v>986415.09433962265</v>
      </c>
      <c r="AE13" s="24">
        <v>1011555.5555555555</v>
      </c>
      <c r="AF13" s="24">
        <v>799574.46808510635</v>
      </c>
      <c r="AG13" s="24">
        <v>580000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4" x14ac:dyDescent="0.2">
      <c r="A14" s="35" t="s">
        <v>41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778947.36842105258</v>
      </c>
      <c r="Y14" s="24">
        <v>849230.76923076925</v>
      </c>
      <c r="Z14" s="24">
        <v>834000</v>
      </c>
      <c r="AA14" s="24">
        <v>638823.5294117647</v>
      </c>
      <c r="AB14" s="24">
        <v>815000</v>
      </c>
      <c r="AC14" s="24">
        <v>868125</v>
      </c>
      <c r="AD14" s="24">
        <v>695500</v>
      </c>
      <c r="AE14" s="24">
        <v>461176.4705882353</v>
      </c>
      <c r="AF14" s="24">
        <v>858181.81818181823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4" x14ac:dyDescent="0.2">
      <c r="A15" s="35" t="s">
        <v>42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>
        <v>1847285.7142857143</v>
      </c>
      <c r="AB15" s="24">
        <v>2014347.8260869565</v>
      </c>
      <c r="AC15" s="24">
        <v>1533218.3908045976</v>
      </c>
      <c r="AD15" s="24">
        <v>1804716.9811320754</v>
      </c>
      <c r="AE15" s="24">
        <v>1423783.7837837837</v>
      </c>
      <c r="AF15" s="24">
        <v>1947916.6666666667</v>
      </c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4" s="26" customFormat="1" x14ac:dyDescent="0.2">
      <c r="A16" s="36" t="s">
        <v>73</v>
      </c>
      <c r="B16" s="25">
        <v>77750</v>
      </c>
      <c r="C16" s="25">
        <v>400000</v>
      </c>
      <c r="D16" s="25">
        <v>298333.33333333331</v>
      </c>
      <c r="E16" s="25">
        <v>313333.33333333331</v>
      </c>
      <c r="F16" s="25">
        <v>354545.45454545453</v>
      </c>
      <c r="G16" s="25">
        <v>685714.28571428568</v>
      </c>
      <c r="H16" s="25">
        <v>335000</v>
      </c>
      <c r="I16" s="25">
        <v>529444.4444444445</v>
      </c>
      <c r="J16" s="25">
        <v>531648.1481481482</v>
      </c>
      <c r="K16" s="25">
        <v>745765.43209876539</v>
      </c>
      <c r="L16" s="25">
        <v>874745.76271186443</v>
      </c>
      <c r="M16" s="25">
        <v>876632.6530612245</v>
      </c>
      <c r="N16" s="25">
        <v>1055333.388888889</v>
      </c>
      <c r="O16" s="25">
        <v>1721937.0333333334</v>
      </c>
      <c r="P16" s="25">
        <v>1575103.7985611511</v>
      </c>
      <c r="Q16" s="25">
        <v>1955428.768041237</v>
      </c>
      <c r="R16" s="25">
        <v>2099661.5606060605</v>
      </c>
      <c r="S16" s="25">
        <v>1999151.1278688523</v>
      </c>
      <c r="T16" s="25">
        <v>2497803.0964285713</v>
      </c>
      <c r="U16" s="25">
        <v>2696014.0133333332</v>
      </c>
      <c r="V16" s="25">
        <v>2222467.0396226416</v>
      </c>
      <c r="W16" s="25">
        <v>2390211.3166023167</v>
      </c>
      <c r="X16" s="25">
        <v>2445177.3412527</v>
      </c>
      <c r="Y16" s="25">
        <v>2480035.1493848856</v>
      </c>
      <c r="Z16" s="25">
        <v>2583287.3862158647</v>
      </c>
      <c r="AA16" s="25">
        <v>2483768.6996547757</v>
      </c>
      <c r="AB16" s="25">
        <v>2488655.2540322579</v>
      </c>
      <c r="AC16" s="25">
        <v>2401159.3163565132</v>
      </c>
      <c r="AD16" s="25">
        <v>2351807.6086956523</v>
      </c>
      <c r="AE16" s="25">
        <v>2330503.2258064514</v>
      </c>
      <c r="AF16" s="25">
        <v>2181134.2894393741</v>
      </c>
      <c r="AG16" s="25">
        <v>2153037.2340425532</v>
      </c>
      <c r="AH16" s="25">
        <v>1923442.3545081967</v>
      </c>
      <c r="AI16" s="25">
        <v>1612119.0550774527</v>
      </c>
      <c r="AJ16" s="25">
        <v>1286589.4465894466</v>
      </c>
      <c r="AK16" s="25">
        <v>1036747.9674796748</v>
      </c>
      <c r="AL16" s="25">
        <v>952311.24807395996</v>
      </c>
      <c r="AM16" s="25">
        <v>858273.68421052629</v>
      </c>
      <c r="AN16" s="25">
        <v>933450.98039215687</v>
      </c>
      <c r="AO16" s="25">
        <v>965372.46049661399</v>
      </c>
      <c r="AP16" s="25">
        <v>1017383.7209302326</v>
      </c>
      <c r="AQ16" s="25">
        <v>900354.83870967745</v>
      </c>
      <c r="AR16" s="25">
        <v>1136295.1807228916</v>
      </c>
    </row>
    <row r="17" spans="1:44" x14ac:dyDescent="0.2">
      <c r="A17" s="35" t="s">
        <v>90</v>
      </c>
      <c r="B17" s="24"/>
      <c r="C17" s="24"/>
      <c r="D17" s="24"/>
      <c r="E17" s="24"/>
      <c r="F17" s="24"/>
      <c r="G17" s="24"/>
      <c r="H17" s="24"/>
      <c r="I17" s="24"/>
      <c r="J17" s="24"/>
      <c r="K17" s="24">
        <v>162210.28037383177</v>
      </c>
      <c r="L17" s="24">
        <v>154821.77721518988</v>
      </c>
      <c r="M17" s="24">
        <v>36254.523081821077</v>
      </c>
      <c r="N17" s="24">
        <v>50600.789705882351</v>
      </c>
      <c r="O17" s="24">
        <v>54526.929168058807</v>
      </c>
      <c r="P17" s="24">
        <v>73703.462708537787</v>
      </c>
      <c r="Q17" s="24">
        <v>66359.47405660378</v>
      </c>
      <c r="R17" s="24">
        <v>59923.941304347827</v>
      </c>
      <c r="S17" s="24">
        <v>45753.775818639799</v>
      </c>
      <c r="T17" s="24">
        <v>53079.522123893803</v>
      </c>
      <c r="U17" s="24">
        <v>55953.422450728365</v>
      </c>
      <c r="V17" s="24">
        <v>51583.481592039803</v>
      </c>
      <c r="W17" s="24">
        <v>46904.537246049658</v>
      </c>
      <c r="X17" s="24">
        <v>178761.33333333334</v>
      </c>
      <c r="Y17" s="24">
        <v>129367.75</v>
      </c>
      <c r="Z17" s="24">
        <v>227957.5</v>
      </c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x14ac:dyDescent="0.2">
      <c r="A18" s="35" t="s">
        <v>43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>
        <v>625000</v>
      </c>
      <c r="AE18" s="24">
        <v>591666.66666666663</v>
      </c>
      <c r="AF18" s="24">
        <v>675000</v>
      </c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44" x14ac:dyDescent="0.2">
      <c r="A19" s="35" t="s">
        <v>44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>
        <v>500000</v>
      </c>
      <c r="AK19" s="24"/>
      <c r="AL19" s="24">
        <v>410000</v>
      </c>
      <c r="AM19" s="24"/>
      <c r="AN19" s="24"/>
      <c r="AO19" s="24"/>
      <c r="AP19" s="24"/>
      <c r="AQ19" s="24"/>
      <c r="AR19" s="24"/>
    </row>
    <row r="20" spans="1:44" x14ac:dyDescent="0.2">
      <c r="A20" s="35" t="s">
        <v>45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>
        <v>965555.5555555555</v>
      </c>
      <c r="AE20" s="24">
        <v>1171818.1818181819</v>
      </c>
      <c r="AF20" s="24">
        <v>854615.38461538462</v>
      </c>
      <c r="AG20" s="24"/>
      <c r="AH20" s="24">
        <v>776129.03225806449</v>
      </c>
      <c r="AI20" s="24">
        <v>965000</v>
      </c>
      <c r="AJ20" s="24">
        <v>863333.33333333337</v>
      </c>
      <c r="AK20" s="24">
        <v>1281666.6666666667</v>
      </c>
      <c r="AL20" s="24">
        <v>1537272.7272727273</v>
      </c>
      <c r="AM20" s="24">
        <v>1432500</v>
      </c>
      <c r="AN20" s="24">
        <v>1050000</v>
      </c>
      <c r="AO20" s="24">
        <v>1645000</v>
      </c>
      <c r="AP20" s="24">
        <v>1450000</v>
      </c>
      <c r="AQ20" s="24">
        <v>1793333.3333333333</v>
      </c>
      <c r="AR20" s="24">
        <v>1170000</v>
      </c>
    </row>
    <row r="21" spans="1:44" x14ac:dyDescent="0.2">
      <c r="A21" s="35" t="s">
        <v>46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>
        <v>2000000</v>
      </c>
      <c r="AE21" s="24">
        <v>1100000</v>
      </c>
      <c r="AF21" s="24">
        <v>1275000</v>
      </c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ht="24" x14ac:dyDescent="0.2">
      <c r="A22" s="35" t="s">
        <v>47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>
        <v>674848.34123222751</v>
      </c>
      <c r="AH22" s="24">
        <v>452397.63636363635</v>
      </c>
      <c r="AI22" s="24">
        <v>304907.40740740742</v>
      </c>
      <c r="AJ22" s="24">
        <v>708148.1481481482</v>
      </c>
      <c r="AK22" s="24">
        <v>771111.11111111112</v>
      </c>
      <c r="AL22" s="24">
        <v>1361666.6666666667</v>
      </c>
      <c r="AM22" s="24">
        <v>840000</v>
      </c>
      <c r="AN22" s="24">
        <v>1609375</v>
      </c>
      <c r="AO22" s="24">
        <v>1951428.5714285714</v>
      </c>
      <c r="AP22" s="24">
        <v>1338000</v>
      </c>
      <c r="AQ22" s="24">
        <v>1175000</v>
      </c>
      <c r="AR22" s="24">
        <v>1670000</v>
      </c>
    </row>
    <row r="23" spans="1:44" x14ac:dyDescent="0.2">
      <c r="A23" s="35" t="s">
        <v>48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>
        <v>500000</v>
      </c>
      <c r="AE23" s="24">
        <v>500000</v>
      </c>
      <c r="AF23" s="24">
        <v>360000</v>
      </c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x14ac:dyDescent="0.2">
      <c r="A24" s="35" t="s">
        <v>49</v>
      </c>
      <c r="B24" s="24"/>
      <c r="C24" s="24"/>
      <c r="D24" s="24"/>
      <c r="E24" s="24"/>
      <c r="F24" s="24">
        <v>16592</v>
      </c>
      <c r="G24" s="24">
        <v>16096.697438633939</v>
      </c>
      <c r="H24" s="24"/>
      <c r="I24" s="24">
        <v>15419.315752461322</v>
      </c>
      <c r="J24" s="24">
        <v>17718.160767449554</v>
      </c>
      <c r="K24" s="24">
        <v>1030426.6666666666</v>
      </c>
      <c r="L24" s="24">
        <v>1223955</v>
      </c>
      <c r="M24" s="24">
        <v>1166437.7272727273</v>
      </c>
      <c r="N24" s="24">
        <v>1024938.2057142857</v>
      </c>
      <c r="O24" s="24">
        <v>1307474.9924812031</v>
      </c>
      <c r="P24" s="24">
        <v>1448675.22875817</v>
      </c>
      <c r="Q24" s="24">
        <v>1543472.5934065934</v>
      </c>
      <c r="R24" s="24">
        <v>1112150.48</v>
      </c>
      <c r="S24" s="24">
        <v>1339301.7916666667</v>
      </c>
      <c r="T24" s="24">
        <v>1023924.0869565217</v>
      </c>
      <c r="U24" s="24">
        <v>1101866.6666666667</v>
      </c>
      <c r="V24" s="24">
        <v>1268647.0588235294</v>
      </c>
      <c r="W24" s="24">
        <v>1243333.3333333333</v>
      </c>
      <c r="X24" s="24">
        <v>1035088</v>
      </c>
      <c r="Y24" s="24">
        <v>877333.33333333337</v>
      </c>
      <c r="Z24" s="24">
        <v>1521354.5454545454</v>
      </c>
      <c r="AA24" s="24">
        <v>666277.45833333337</v>
      </c>
      <c r="AB24" s="24">
        <v>814137.22222222225</v>
      </c>
      <c r="AC24" s="24">
        <v>991532.28571428568</v>
      </c>
      <c r="AD24" s="24">
        <v>657767.83333333337</v>
      </c>
      <c r="AE24" s="24">
        <v>527391.30434782605</v>
      </c>
      <c r="AF24" s="24">
        <v>691250</v>
      </c>
      <c r="AG24" s="24"/>
      <c r="AH24" s="24">
        <v>1061333.3333333333</v>
      </c>
      <c r="AI24" s="24">
        <v>1041044.776119403</v>
      </c>
      <c r="AJ24" s="24">
        <v>874000</v>
      </c>
      <c r="AK24" s="24">
        <v>1241000</v>
      </c>
      <c r="AL24" s="24">
        <v>1309821.4285714286</v>
      </c>
      <c r="AM24" s="24">
        <v>1418048.7804878049</v>
      </c>
      <c r="AN24" s="24">
        <v>1561428.5714285714</v>
      </c>
      <c r="AO24" s="24">
        <v>1540697.6744186047</v>
      </c>
      <c r="AP24" s="24">
        <v>1421875</v>
      </c>
      <c r="AQ24" s="24">
        <v>1575200</v>
      </c>
      <c r="AR24" s="24">
        <v>1542352.9411764706</v>
      </c>
    </row>
    <row r="25" spans="1:44" x14ac:dyDescent="0.2">
      <c r="A25" s="35" t="s">
        <v>111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>
        <v>170000</v>
      </c>
      <c r="Y25" s="24">
        <v>134428.5</v>
      </c>
      <c r="Z25" s="24">
        <v>209759.66666666666</v>
      </c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ht="24" x14ac:dyDescent="0.2">
      <c r="A26" s="35" t="s">
        <v>91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>
        <v>406865.9589041096</v>
      </c>
      <c r="Y26" s="24">
        <v>456774.53703703702</v>
      </c>
      <c r="Z26" s="24">
        <v>336823.48936170212</v>
      </c>
      <c r="AA26" s="24">
        <v>456744.68085106381</v>
      </c>
      <c r="AB26" s="24">
        <v>492857.14285714284</v>
      </c>
      <c r="AC26" s="24">
        <v>360391.30434782611</v>
      </c>
      <c r="AD26" s="24">
        <v>440880</v>
      </c>
      <c r="AE26" s="24">
        <v>559736.84210526315</v>
      </c>
      <c r="AF26" s="24">
        <v>430869.5652173913</v>
      </c>
      <c r="AG26" s="24">
        <v>700000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x14ac:dyDescent="0.2">
      <c r="A27" s="35" t="s">
        <v>110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>
        <v>286828.33333333331</v>
      </c>
      <c r="Y27" s="24">
        <v>23100</v>
      </c>
      <c r="Z27" s="24">
        <v>255000</v>
      </c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x14ac:dyDescent="0.2">
      <c r="A28" s="35" t="s">
        <v>112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>
        <v>13189.698492462312</v>
      </c>
      <c r="Y28" s="24">
        <v>13192.086330935252</v>
      </c>
      <c r="Z28" s="24">
        <v>11317.64705882353</v>
      </c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x14ac:dyDescent="0.2">
      <c r="A29" s="35" t="s">
        <v>113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>
        <v>4260.3737623762372</v>
      </c>
      <c r="Y29" s="24">
        <v>4291.8222222222221</v>
      </c>
      <c r="Z29" s="24">
        <v>2255.5813953488373</v>
      </c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s="26" customFormat="1" x14ac:dyDescent="0.2">
      <c r="A30" s="36" t="s">
        <v>73</v>
      </c>
      <c r="B30" s="25"/>
      <c r="C30" s="25"/>
      <c r="D30" s="25"/>
      <c r="E30" s="25"/>
      <c r="F30" s="25">
        <v>16592</v>
      </c>
      <c r="G30" s="25">
        <v>16096.697438633939</v>
      </c>
      <c r="H30" s="25"/>
      <c r="I30" s="25">
        <v>15419.315752461322</v>
      </c>
      <c r="J30" s="25">
        <v>17718.160767449554</v>
      </c>
      <c r="K30" s="25">
        <v>387525.95155709342</v>
      </c>
      <c r="L30" s="25">
        <v>311843.50323974079</v>
      </c>
      <c r="M30" s="25">
        <v>67055.427996283674</v>
      </c>
      <c r="N30" s="25">
        <v>127580.04379232506</v>
      </c>
      <c r="O30" s="25">
        <v>107835.34005118362</v>
      </c>
      <c r="P30" s="25">
        <v>169719.29119123687</v>
      </c>
      <c r="Q30" s="25">
        <v>127154.27001356852</v>
      </c>
      <c r="R30" s="25">
        <v>101133.85796344647</v>
      </c>
      <c r="S30" s="25">
        <v>65012.555210918115</v>
      </c>
      <c r="T30" s="25">
        <v>69271.998549673677</v>
      </c>
      <c r="U30" s="25">
        <v>69226.433164128597</v>
      </c>
      <c r="V30" s="25">
        <v>71828.179060665367</v>
      </c>
      <c r="W30" s="25">
        <v>58935.66480446927</v>
      </c>
      <c r="X30" s="25">
        <v>70992.593360995845</v>
      </c>
      <c r="Y30" s="25">
        <v>91262.761290322582</v>
      </c>
      <c r="Z30" s="25">
        <v>89547.060386473429</v>
      </c>
      <c r="AA30" s="25">
        <v>527572.661971831</v>
      </c>
      <c r="AB30" s="25">
        <v>618575.43478260865</v>
      </c>
      <c r="AC30" s="25">
        <v>599201.40540540544</v>
      </c>
      <c r="AD30" s="25">
        <v>630389.66071428568</v>
      </c>
      <c r="AE30" s="25">
        <v>666209.67741935479</v>
      </c>
      <c r="AF30" s="25">
        <v>629014.08450704231</v>
      </c>
      <c r="AG30" s="25">
        <v>674966.98113207542</v>
      </c>
      <c r="AH30" s="25">
        <v>634318.7890625</v>
      </c>
      <c r="AI30" s="25">
        <v>635671.64179104473</v>
      </c>
      <c r="AJ30" s="25">
        <v>833968.25396825396</v>
      </c>
      <c r="AK30" s="25">
        <v>1203960.396039604</v>
      </c>
      <c r="AL30" s="25">
        <v>1335675.6756756757</v>
      </c>
      <c r="AM30" s="25">
        <v>1383125</v>
      </c>
      <c r="AN30" s="25">
        <v>1538181.8181818181</v>
      </c>
      <c r="AO30" s="25">
        <v>1600000</v>
      </c>
      <c r="AP30" s="25">
        <v>1393928.5714285714</v>
      </c>
      <c r="AQ30" s="25">
        <v>1545625</v>
      </c>
      <c r="AR30" s="25">
        <v>1567307.6923076923</v>
      </c>
    </row>
    <row r="31" spans="1:44" x14ac:dyDescent="0.2">
      <c r="A31" s="35" t="s">
        <v>50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>
        <v>8033333.333333333</v>
      </c>
      <c r="Z31" s="24">
        <v>5000000</v>
      </c>
      <c r="AA31" s="24">
        <v>6055555.555555556</v>
      </c>
      <c r="AB31" s="24">
        <v>7460714.2857142854</v>
      </c>
      <c r="AC31" s="24">
        <v>8165384.615384615</v>
      </c>
      <c r="AD31" s="24">
        <v>7441666.666666667</v>
      </c>
      <c r="AE31" s="24">
        <v>7126441.4909090912</v>
      </c>
      <c r="AF31" s="24">
        <v>7206666.666666667</v>
      </c>
      <c r="AG31" s="24">
        <v>6753125</v>
      </c>
      <c r="AH31" s="24">
        <v>7164285.7142857146</v>
      </c>
      <c r="AI31" s="24">
        <v>6918750</v>
      </c>
      <c r="AJ31" s="24">
        <v>5243333.333333333</v>
      </c>
      <c r="AK31" s="24">
        <v>3785714.2857142859</v>
      </c>
      <c r="AL31" s="24">
        <v>3516666.6666666665</v>
      </c>
      <c r="AM31" s="24">
        <v>6716666.666666667</v>
      </c>
      <c r="AN31" s="24">
        <v>6088888.888888889</v>
      </c>
      <c r="AO31" s="24">
        <v>4871666.666666667</v>
      </c>
      <c r="AP31" s="24">
        <v>5758333.333333333</v>
      </c>
      <c r="AQ31" s="24">
        <v>7115000</v>
      </c>
      <c r="AR31" s="24">
        <v>6550000</v>
      </c>
    </row>
    <row r="32" spans="1:44" x14ac:dyDescent="0.2">
      <c r="A32" s="35" t="s">
        <v>114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>
        <v>4500000</v>
      </c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44" x14ac:dyDescent="0.2">
      <c r="A33" s="35" t="s">
        <v>51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>
        <v>9812709.8571428563</v>
      </c>
      <c r="Y33" s="24">
        <v>10535002.272727273</v>
      </c>
      <c r="Z33" s="24">
        <v>9285135.1351351347</v>
      </c>
      <c r="AA33" s="24">
        <v>7970833.333333333</v>
      </c>
      <c r="AB33" s="24">
        <v>7632765.9574468089</v>
      </c>
      <c r="AC33" s="24">
        <v>6664893.6170212766</v>
      </c>
      <c r="AD33" s="24">
        <v>5067073.1707317075</v>
      </c>
      <c r="AE33" s="24">
        <v>5078275.8620689651</v>
      </c>
      <c r="AF33" s="24">
        <v>3000000</v>
      </c>
      <c r="AG33" s="24">
        <v>3000000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1:44" x14ac:dyDescent="0.2">
      <c r="A34" s="35" t="s">
        <v>52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6887500</v>
      </c>
      <c r="Y34" s="24">
        <v>9233333.333333334</v>
      </c>
      <c r="Z34" s="24">
        <v>7737500</v>
      </c>
      <c r="AA34" s="24">
        <v>5950000</v>
      </c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</row>
    <row r="35" spans="1:44" x14ac:dyDescent="0.2">
      <c r="A35" s="35" t="s">
        <v>71</v>
      </c>
      <c r="B35" s="24">
        <v>3133216.6153846155</v>
      </c>
      <c r="C35" s="24">
        <v>5000000</v>
      </c>
      <c r="D35" s="24">
        <v>3350000</v>
      </c>
      <c r="E35" s="24">
        <v>4665000</v>
      </c>
      <c r="F35" s="24">
        <v>1900000</v>
      </c>
      <c r="G35" s="24">
        <v>2674625</v>
      </c>
      <c r="H35" s="24">
        <v>2438888.888888889</v>
      </c>
      <c r="I35" s="24">
        <v>4000000</v>
      </c>
      <c r="J35" s="24">
        <v>3479057.1428571427</v>
      </c>
      <c r="K35" s="24">
        <v>3477727.2727272729</v>
      </c>
      <c r="L35" s="24">
        <v>1609375</v>
      </c>
      <c r="M35" s="24">
        <v>3254866.6666666665</v>
      </c>
      <c r="N35" s="24">
        <v>3376470.588235294</v>
      </c>
      <c r="O35" s="24">
        <v>4800137.2857142854</v>
      </c>
      <c r="P35" s="24">
        <v>5335714.5</v>
      </c>
      <c r="Q35" s="24">
        <v>6685294.1176470593</v>
      </c>
      <c r="R35" s="24">
        <v>9868112.333333334</v>
      </c>
      <c r="S35" s="24">
        <v>8873455.5</v>
      </c>
      <c r="T35" s="24">
        <v>9010806.1147540975</v>
      </c>
      <c r="U35" s="24">
        <v>9731508.421052631</v>
      </c>
      <c r="V35" s="24">
        <v>8243459.3499999996</v>
      </c>
      <c r="W35" s="24">
        <v>9156666.666666666</v>
      </c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1:44" x14ac:dyDescent="0.2">
      <c r="A36" s="35" t="s">
        <v>82</v>
      </c>
      <c r="B36" s="24"/>
      <c r="C36" s="24"/>
      <c r="D36" s="24"/>
      <c r="E36" s="24"/>
      <c r="F36" s="24"/>
      <c r="G36" s="24"/>
      <c r="H36" s="24">
        <v>6000000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</row>
    <row r="37" spans="1:44" s="26" customFormat="1" x14ac:dyDescent="0.2">
      <c r="A37" s="36" t="s">
        <v>73</v>
      </c>
      <c r="B37" s="25">
        <v>3133216.6153846155</v>
      </c>
      <c r="C37" s="25">
        <v>5000000</v>
      </c>
      <c r="D37" s="25">
        <v>3350000</v>
      </c>
      <c r="E37" s="25">
        <v>4665000</v>
      </c>
      <c r="F37" s="25">
        <v>1900000</v>
      </c>
      <c r="G37" s="25">
        <v>2674625</v>
      </c>
      <c r="H37" s="25">
        <v>2795000</v>
      </c>
      <c r="I37" s="25">
        <v>4000000</v>
      </c>
      <c r="J37" s="25">
        <v>3479057.1428571427</v>
      </c>
      <c r="K37" s="25">
        <v>3477727.2727272729</v>
      </c>
      <c r="L37" s="25">
        <v>1609375</v>
      </c>
      <c r="M37" s="25">
        <v>3254866.6666666665</v>
      </c>
      <c r="N37" s="25">
        <v>3376470.588235294</v>
      </c>
      <c r="O37" s="25">
        <v>4800137.2857142854</v>
      </c>
      <c r="P37" s="25">
        <v>5335714.5</v>
      </c>
      <c r="Q37" s="25">
        <v>6685294.1176470593</v>
      </c>
      <c r="R37" s="25">
        <v>9868112.333333334</v>
      </c>
      <c r="S37" s="25">
        <v>8873455.5</v>
      </c>
      <c r="T37" s="25">
        <v>9010806.1147540975</v>
      </c>
      <c r="U37" s="25">
        <v>9731508.421052631</v>
      </c>
      <c r="V37" s="25">
        <v>8243459.3499999996</v>
      </c>
      <c r="W37" s="25">
        <v>9156666.666666666</v>
      </c>
      <c r="X37" s="25">
        <v>9297147.7575757578</v>
      </c>
      <c r="Y37" s="25">
        <v>10143052.542372881</v>
      </c>
      <c r="Z37" s="25">
        <v>8922826.0869565215</v>
      </c>
      <c r="AA37" s="25">
        <v>7610169.4915254237</v>
      </c>
      <c r="AB37" s="25">
        <v>7568533.333333333</v>
      </c>
      <c r="AC37" s="25">
        <v>7199315.0684931511</v>
      </c>
      <c r="AD37" s="25">
        <v>6416842.1052631577</v>
      </c>
      <c r="AE37" s="25">
        <v>6419336.6904761903</v>
      </c>
      <c r="AF37" s="25">
        <v>7070967.7419354841</v>
      </c>
      <c r="AG37" s="25">
        <v>6532352.9411764704</v>
      </c>
      <c r="AH37" s="25">
        <v>7164285.7142857146</v>
      </c>
      <c r="AI37" s="25">
        <v>6918750</v>
      </c>
      <c r="AJ37" s="25">
        <v>5243333.333333333</v>
      </c>
      <c r="AK37" s="25">
        <v>3785714.2857142859</v>
      </c>
      <c r="AL37" s="25">
        <v>3516666.6666666665</v>
      </c>
      <c r="AM37" s="25">
        <v>6716666.666666667</v>
      </c>
      <c r="AN37" s="25">
        <v>6088888.888888889</v>
      </c>
      <c r="AO37" s="25">
        <v>4871666.666666667</v>
      </c>
      <c r="AP37" s="25">
        <v>5758333.333333333</v>
      </c>
      <c r="AQ37" s="25">
        <v>7115000</v>
      </c>
      <c r="AR37" s="25">
        <v>6550000</v>
      </c>
    </row>
    <row r="38" spans="1:44" ht="24" x14ac:dyDescent="0.2">
      <c r="A38" s="35" t="s">
        <v>87</v>
      </c>
      <c r="B38" s="24"/>
      <c r="C38" s="24"/>
      <c r="D38" s="24"/>
      <c r="E38" s="24"/>
      <c r="F38" s="24">
        <v>1000000</v>
      </c>
      <c r="G38" s="24">
        <v>600000</v>
      </c>
      <c r="H38" s="24">
        <v>1800000</v>
      </c>
      <c r="I38" s="24"/>
      <c r="J38" s="24">
        <v>1100000</v>
      </c>
      <c r="K38" s="24">
        <v>364705.8823529412</v>
      </c>
      <c r="L38" s="24">
        <v>521976.33136094676</v>
      </c>
      <c r="M38" s="24">
        <v>657760.54444444447</v>
      </c>
      <c r="N38" s="24">
        <v>845481.14336917561</v>
      </c>
      <c r="O38" s="24">
        <v>823044.98924731184</v>
      </c>
      <c r="P38" s="24">
        <v>1025995.046875</v>
      </c>
      <c r="Q38" s="24">
        <v>865992</v>
      </c>
      <c r="R38" s="24">
        <v>811378.57142857148</v>
      </c>
      <c r="S38" s="24">
        <v>768547.31645569624</v>
      </c>
      <c r="T38" s="24">
        <v>1031615.76</v>
      </c>
      <c r="U38" s="24">
        <v>757376.97402597405</v>
      </c>
      <c r="V38" s="24">
        <v>688086.18012422358</v>
      </c>
      <c r="W38" s="24">
        <v>713315.03947368416</v>
      </c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</row>
    <row r="39" spans="1:44" x14ac:dyDescent="0.2">
      <c r="A39" s="35" t="s">
        <v>94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</row>
    <row r="40" spans="1:44" x14ac:dyDescent="0.2">
      <c r="A40" s="35" t="s">
        <v>53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>
        <v>120000</v>
      </c>
      <c r="Z40" s="24">
        <v>1050000</v>
      </c>
      <c r="AA40" s="24"/>
      <c r="AB40" s="24"/>
      <c r="AC40" s="24"/>
      <c r="AD40" s="24"/>
      <c r="AE40" s="24"/>
      <c r="AF40" s="24"/>
      <c r="AG40" s="24">
        <v>838885.41666666663</v>
      </c>
      <c r="AH40" s="24">
        <v>490701.75438596489</v>
      </c>
      <c r="AI40" s="24">
        <v>657880.43478260865</v>
      </c>
      <c r="AJ40" s="24">
        <v>912103.00429184549</v>
      </c>
      <c r="AK40" s="24">
        <v>1008549.2227979274</v>
      </c>
      <c r="AL40" s="24">
        <v>1167756.4102564103</v>
      </c>
      <c r="AM40" s="24">
        <v>1305042.735042735</v>
      </c>
      <c r="AN40" s="24">
        <v>1022366.4122137404</v>
      </c>
      <c r="AO40" s="24">
        <v>954038.4615384615</v>
      </c>
      <c r="AP40" s="24">
        <v>736194.69026548672</v>
      </c>
      <c r="AQ40" s="24">
        <v>614862.38532110094</v>
      </c>
      <c r="AR40" s="24">
        <v>563142.85714285716</v>
      </c>
    </row>
    <row r="41" spans="1:44" x14ac:dyDescent="0.2">
      <c r="A41" s="35" t="s">
        <v>54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393333.33333333331</v>
      </c>
      <c r="Y41" s="24">
        <v>403285.71428571426</v>
      </c>
      <c r="Z41" s="24">
        <v>357420.36538461538</v>
      </c>
      <c r="AA41" s="24">
        <v>336093.75</v>
      </c>
      <c r="AB41" s="24">
        <v>370833.33333333331</v>
      </c>
      <c r="AC41" s="24">
        <v>268421.05263157893</v>
      </c>
      <c r="AD41" s="24">
        <v>308977.27272727271</v>
      </c>
      <c r="AE41" s="24">
        <v>361595.74468085106</v>
      </c>
      <c r="AF41" s="24">
        <v>346666.66666666669</v>
      </c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</row>
    <row r="42" spans="1:44" x14ac:dyDescent="0.2">
      <c r="A42" s="35" t="s">
        <v>55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>
        <v>191300</v>
      </c>
      <c r="Y42" s="24">
        <v>556961.5384615385</v>
      </c>
      <c r="Z42" s="24">
        <v>891875</v>
      </c>
      <c r="AA42" s="24">
        <v>835280</v>
      </c>
      <c r="AB42" s="24">
        <v>546125</v>
      </c>
      <c r="AC42" s="24">
        <v>458888.88888888888</v>
      </c>
      <c r="AD42" s="24">
        <v>453484.61538461538</v>
      </c>
      <c r="AE42" s="24">
        <v>376944.44444444444</v>
      </c>
      <c r="AF42" s="24">
        <v>137222.22222222222</v>
      </c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</row>
    <row r="43" spans="1:44" x14ac:dyDescent="0.2">
      <c r="A43" s="35" t="s">
        <v>56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>
        <v>961153.84615384613</v>
      </c>
      <c r="Y43" s="24">
        <v>1049516.1290322582</v>
      </c>
      <c r="Z43" s="24">
        <v>1168571.4285714286</v>
      </c>
      <c r="AA43" s="24">
        <v>1193953.4883720931</v>
      </c>
      <c r="AB43" s="24">
        <v>1206964.2857142857</v>
      </c>
      <c r="AC43" s="24">
        <v>1240000</v>
      </c>
      <c r="AD43" s="24">
        <v>942250</v>
      </c>
      <c r="AE43" s="24">
        <v>1109253.7313432836</v>
      </c>
      <c r="AF43" s="24">
        <v>973181.81818181823</v>
      </c>
      <c r="AG43" s="24">
        <v>800000</v>
      </c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</row>
    <row r="44" spans="1:44" x14ac:dyDescent="0.2">
      <c r="A44" s="35" t="s">
        <v>57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>
        <v>853000</v>
      </c>
      <c r="Y44" s="24">
        <v>947288.13559322036</v>
      </c>
      <c r="Z44" s="24">
        <v>799405.97014925373</v>
      </c>
      <c r="AA44" s="24">
        <v>689107.14285714284</v>
      </c>
      <c r="AB44" s="24">
        <v>642222.22222222225</v>
      </c>
      <c r="AC44" s="24">
        <v>573170.73170731706</v>
      </c>
      <c r="AD44" s="24">
        <v>488163.26530612243</v>
      </c>
      <c r="AE44" s="24">
        <v>567962.96296296292</v>
      </c>
      <c r="AF44" s="24">
        <v>566585.36585365853</v>
      </c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</row>
    <row r="45" spans="1:44" x14ac:dyDescent="0.2">
      <c r="A45" s="35" t="s">
        <v>69</v>
      </c>
      <c r="B45" s="24">
        <v>190000</v>
      </c>
      <c r="C45" s="24">
        <v>30000</v>
      </c>
      <c r="D45" s="24">
        <v>26379.430656934306</v>
      </c>
      <c r="E45" s="24">
        <v>42685.777576853528</v>
      </c>
      <c r="F45" s="24">
        <v>50000</v>
      </c>
      <c r="G45" s="24">
        <v>49903.810363836827</v>
      </c>
      <c r="H45" s="24">
        <v>84328.541666666672</v>
      </c>
      <c r="I45" s="24">
        <v>46490.196078431371</v>
      </c>
      <c r="J45" s="24">
        <v>69559.523809523816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</row>
    <row r="46" spans="1:44" s="26" customFormat="1" x14ac:dyDescent="0.2">
      <c r="A46" s="36" t="s">
        <v>73</v>
      </c>
      <c r="B46" s="25">
        <v>190000</v>
      </c>
      <c r="C46" s="25">
        <v>30000</v>
      </c>
      <c r="D46" s="25">
        <v>26379.430656934306</v>
      </c>
      <c r="E46" s="25">
        <v>42685.777576853528</v>
      </c>
      <c r="F46" s="25">
        <v>53997.194950911638</v>
      </c>
      <c r="G46" s="25">
        <v>50509.643171806165</v>
      </c>
      <c r="H46" s="25">
        <v>94480.443786982243</v>
      </c>
      <c r="I46" s="25">
        <v>46490.196078431371</v>
      </c>
      <c r="J46" s="25">
        <v>105091.9540229885</v>
      </c>
      <c r="K46" s="25">
        <v>364705.8823529412</v>
      </c>
      <c r="L46" s="25">
        <v>521976.33136094676</v>
      </c>
      <c r="M46" s="25">
        <v>657760.54444444447</v>
      </c>
      <c r="N46" s="25">
        <v>845481.14336917561</v>
      </c>
      <c r="O46" s="25">
        <v>823044.98924731184</v>
      </c>
      <c r="P46" s="25">
        <v>1025995.046875</v>
      </c>
      <c r="Q46" s="25">
        <v>865992</v>
      </c>
      <c r="R46" s="25">
        <v>811378.57142857148</v>
      </c>
      <c r="S46" s="25">
        <v>768547.31645569624</v>
      </c>
      <c r="T46" s="25">
        <v>1031615.76</v>
      </c>
      <c r="U46" s="25">
        <v>757376.97402597405</v>
      </c>
      <c r="V46" s="25">
        <v>688086.18012422358</v>
      </c>
      <c r="W46" s="25">
        <v>713315.03947368416</v>
      </c>
      <c r="X46" s="25">
        <v>721162.60162601632</v>
      </c>
      <c r="Y46" s="25">
        <v>790651.07913669059</v>
      </c>
      <c r="Z46" s="25">
        <v>752418.94767441857</v>
      </c>
      <c r="AA46" s="25">
        <v>779275.641025641</v>
      </c>
      <c r="AB46" s="25">
        <v>817105.83941605838</v>
      </c>
      <c r="AC46" s="25">
        <v>788461.5384615385</v>
      </c>
      <c r="AD46" s="25">
        <v>566635.32110091741</v>
      </c>
      <c r="AE46" s="25">
        <v>692311.82795698929</v>
      </c>
      <c r="AF46" s="25">
        <v>687796.6101694915</v>
      </c>
      <c r="AG46" s="25">
        <v>838683.93782383425</v>
      </c>
      <c r="AH46" s="25">
        <v>490701.75438596489</v>
      </c>
      <c r="AI46" s="25">
        <v>657880.43478260865</v>
      </c>
      <c r="AJ46" s="25">
        <v>912103.00429184549</v>
      </c>
      <c r="AK46" s="25">
        <v>1008549.2227979274</v>
      </c>
      <c r="AL46" s="25">
        <v>1167756.4102564103</v>
      </c>
      <c r="AM46" s="25">
        <v>1305042.735042735</v>
      </c>
      <c r="AN46" s="25">
        <v>1022366.4122137404</v>
      </c>
      <c r="AO46" s="25">
        <v>954038.4615384615</v>
      </c>
      <c r="AP46" s="25">
        <v>736194.69026548672</v>
      </c>
      <c r="AQ46" s="25">
        <v>614862.38532110094</v>
      </c>
      <c r="AR46" s="25">
        <v>563142.85714285716</v>
      </c>
    </row>
    <row r="47" spans="1:44" x14ac:dyDescent="0.2">
      <c r="A47" s="35" t="s">
        <v>58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>
        <v>615372.57642725599</v>
      </c>
      <c r="N47" s="24">
        <v>1230459.7701149425</v>
      </c>
      <c r="O47" s="24">
        <v>1649420.2898550725</v>
      </c>
      <c r="P47" s="24">
        <v>2068467.4655172413</v>
      </c>
      <c r="Q47" s="24">
        <v>1750238.0952380951</v>
      </c>
      <c r="R47" s="24">
        <v>1649444.4444444445</v>
      </c>
      <c r="S47" s="24">
        <v>2585588.2352941176</v>
      </c>
      <c r="T47" s="24">
        <v>1837714.2857142857</v>
      </c>
      <c r="U47" s="24">
        <v>2418260.8695652173</v>
      </c>
      <c r="V47" s="24">
        <v>2312258.064516129</v>
      </c>
      <c r="W47" s="24">
        <v>1971794.1176470588</v>
      </c>
      <c r="X47" s="24">
        <v>1797061.888888889</v>
      </c>
      <c r="Y47" s="24">
        <v>1570000</v>
      </c>
      <c r="Z47" s="24">
        <v>1939166.6666666667</v>
      </c>
      <c r="AA47" s="24">
        <v>1336363.6363636365</v>
      </c>
      <c r="AB47" s="24">
        <v>1748000</v>
      </c>
      <c r="AC47" s="24">
        <v>1294444.4444444445</v>
      </c>
      <c r="AD47" s="24">
        <v>1335000</v>
      </c>
      <c r="AE47" s="24">
        <v>1971428.5714285714</v>
      </c>
      <c r="AF47" s="24">
        <v>2071000</v>
      </c>
      <c r="AG47" s="24">
        <v>2630000</v>
      </c>
      <c r="AH47" s="24">
        <v>580000</v>
      </c>
      <c r="AI47" s="24">
        <v>1696666.6666666667</v>
      </c>
      <c r="AJ47" s="24">
        <v>1432500</v>
      </c>
      <c r="AK47" s="24">
        <v>300000</v>
      </c>
      <c r="AL47" s="24"/>
      <c r="AM47" s="24">
        <v>1515000</v>
      </c>
      <c r="AN47" s="24">
        <v>1090000</v>
      </c>
      <c r="AO47" s="24"/>
      <c r="AP47" s="24">
        <v>1000000</v>
      </c>
      <c r="AQ47" s="24">
        <v>1000000</v>
      </c>
      <c r="AR47" s="24"/>
    </row>
    <row r="48" spans="1:44" ht="24" x14ac:dyDescent="0.2">
      <c r="A48" s="35" t="s">
        <v>59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>
        <v>300000</v>
      </c>
      <c r="AA48" s="24"/>
      <c r="AB48" s="24">
        <v>3152278</v>
      </c>
      <c r="AC48" s="24">
        <v>1650000</v>
      </c>
      <c r="AD48" s="24"/>
      <c r="AE48" s="24">
        <v>1115077</v>
      </c>
      <c r="AF48" s="24">
        <v>1185000</v>
      </c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</row>
    <row r="49" spans="1:44" ht="24" x14ac:dyDescent="0.2">
      <c r="A49" s="35" t="s">
        <v>88</v>
      </c>
      <c r="B49" s="24"/>
      <c r="C49" s="24"/>
      <c r="D49" s="24"/>
      <c r="E49" s="24"/>
      <c r="F49" s="24"/>
      <c r="G49" s="24"/>
      <c r="H49" s="24"/>
      <c r="I49" s="24"/>
      <c r="J49" s="24"/>
      <c r="K49" s="24">
        <v>24484.193011647254</v>
      </c>
      <c r="L49" s="24">
        <v>22783.48924547627</v>
      </c>
      <c r="M49" s="24">
        <v>26688.556375131717</v>
      </c>
      <c r="N49" s="24">
        <v>28357.519611505417</v>
      </c>
      <c r="O49" s="24">
        <v>27810.619182517199</v>
      </c>
      <c r="P49" s="24">
        <v>27619.243964421854</v>
      </c>
      <c r="Q49" s="24">
        <v>28464.097249900358</v>
      </c>
      <c r="R49" s="24">
        <v>28559.389465283319</v>
      </c>
      <c r="S49" s="24">
        <v>31314</v>
      </c>
      <c r="T49" s="24">
        <v>32682.307990690457</v>
      </c>
      <c r="U49" s="24">
        <v>31056.406015037595</v>
      </c>
      <c r="V49" s="24">
        <v>54925.714285714283</v>
      </c>
      <c r="W49" s="24">
        <v>59400</v>
      </c>
      <c r="X49" s="24">
        <v>23520</v>
      </c>
      <c r="Y49" s="24">
        <v>45720</v>
      </c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</row>
    <row r="50" spans="1:44" x14ac:dyDescent="0.2">
      <c r="A50" s="35" t="s">
        <v>79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>
        <v>750379.54838709673</v>
      </c>
      <c r="N50" s="24">
        <v>584073.91666666663</v>
      </c>
      <c r="O50" s="24">
        <v>300000</v>
      </c>
      <c r="P50" s="24">
        <v>510015</v>
      </c>
      <c r="Q50" s="24">
        <v>550000</v>
      </c>
      <c r="R50" s="24">
        <v>388307</v>
      </c>
      <c r="S50" s="24">
        <v>100000</v>
      </c>
      <c r="T50" s="24">
        <v>933333.33333333337</v>
      </c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</row>
    <row r="51" spans="1:44" s="26" customFormat="1" x14ac:dyDescent="0.2">
      <c r="A51" s="36" t="s">
        <v>73</v>
      </c>
      <c r="B51" s="25"/>
      <c r="C51" s="25"/>
      <c r="D51" s="25"/>
      <c r="E51" s="25"/>
      <c r="F51" s="25"/>
      <c r="G51" s="25"/>
      <c r="H51" s="25"/>
      <c r="I51" s="25"/>
      <c r="J51" s="25"/>
      <c r="K51" s="25">
        <v>24484.193011647254</v>
      </c>
      <c r="L51" s="25">
        <v>22783.48924547627</v>
      </c>
      <c r="M51" s="25">
        <v>126685.58754750073</v>
      </c>
      <c r="N51" s="25">
        <v>68433.705691642652</v>
      </c>
      <c r="O51" s="25">
        <v>72041.715184893779</v>
      </c>
      <c r="P51" s="25">
        <v>77089.262180016522</v>
      </c>
      <c r="Q51" s="25">
        <v>71010.652680652682</v>
      </c>
      <c r="R51" s="25">
        <v>63004.076502732241</v>
      </c>
      <c r="S51" s="25">
        <v>65198.604288499024</v>
      </c>
      <c r="T51" s="25">
        <v>57865.057339449544</v>
      </c>
      <c r="U51" s="25">
        <v>58264.385530227948</v>
      </c>
      <c r="V51" s="25">
        <v>1896433.6842105263</v>
      </c>
      <c r="W51" s="25">
        <v>1607528.5714285714</v>
      </c>
      <c r="X51" s="25">
        <v>1619707.7</v>
      </c>
      <c r="Y51" s="25">
        <v>1366762.6666666667</v>
      </c>
      <c r="Z51" s="25">
        <v>1813076.923076923</v>
      </c>
      <c r="AA51" s="25">
        <v>1336363.6363636365</v>
      </c>
      <c r="AB51" s="25">
        <v>1982046.3333333333</v>
      </c>
      <c r="AC51" s="25">
        <v>1330000</v>
      </c>
      <c r="AD51" s="25">
        <v>1335000</v>
      </c>
      <c r="AE51" s="25">
        <v>1864384.625</v>
      </c>
      <c r="AF51" s="25">
        <v>1923333.3333333333</v>
      </c>
      <c r="AG51" s="25">
        <v>2630000</v>
      </c>
      <c r="AH51" s="25">
        <v>580000</v>
      </c>
      <c r="AI51" s="25">
        <v>1696666.6666666667</v>
      </c>
      <c r="AJ51" s="25">
        <v>1432500</v>
      </c>
      <c r="AK51" s="25">
        <v>300000</v>
      </c>
      <c r="AL51" s="25"/>
      <c r="AM51" s="25">
        <v>1515000</v>
      </c>
      <c r="AN51" s="25">
        <v>1090000</v>
      </c>
      <c r="AO51" s="25"/>
      <c r="AP51" s="25">
        <v>1000000</v>
      </c>
      <c r="AQ51" s="25">
        <v>1000000</v>
      </c>
      <c r="AR51" s="25"/>
    </row>
    <row r="52" spans="1:44" x14ac:dyDescent="0.2">
      <c r="A52" s="35" t="s">
        <v>60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>
        <v>1301250</v>
      </c>
      <c r="AI52" s="24">
        <v>1583750</v>
      </c>
      <c r="AJ52" s="24">
        <v>1634345.142857143</v>
      </c>
      <c r="AK52" s="24">
        <v>600000</v>
      </c>
      <c r="AL52" s="24">
        <v>992992</v>
      </c>
      <c r="AM52" s="24">
        <v>2185000</v>
      </c>
      <c r="AN52" s="24"/>
      <c r="AO52" s="24">
        <v>200000</v>
      </c>
      <c r="AP52" s="24">
        <v>570000</v>
      </c>
      <c r="AQ52" s="24"/>
      <c r="AR52" s="24">
        <v>1803333.3333333333</v>
      </c>
    </row>
    <row r="53" spans="1:44" s="26" customFormat="1" x14ac:dyDescent="0.2">
      <c r="A53" s="36" t="s">
        <v>73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>
        <v>1301250</v>
      </c>
      <c r="AI53" s="25">
        <v>1583750</v>
      </c>
      <c r="AJ53" s="25">
        <v>1634345.142857143</v>
      </c>
      <c r="AK53" s="25">
        <v>600000</v>
      </c>
      <c r="AL53" s="25">
        <v>992992</v>
      </c>
      <c r="AM53" s="25">
        <v>2185000</v>
      </c>
      <c r="AN53" s="25"/>
      <c r="AO53" s="25">
        <v>200000</v>
      </c>
      <c r="AP53" s="25">
        <v>570000</v>
      </c>
      <c r="AQ53" s="25"/>
      <c r="AR53" s="25">
        <v>1803333.3333333333</v>
      </c>
    </row>
    <row r="54" spans="1:44" x14ac:dyDescent="0.2">
      <c r="A54" s="35" t="s">
        <v>70</v>
      </c>
      <c r="B54" s="24">
        <v>1122675</v>
      </c>
      <c r="C54" s="24"/>
      <c r="D54" s="24"/>
      <c r="E54" s="24"/>
      <c r="F54" s="24"/>
      <c r="G54" s="24">
        <v>1500000</v>
      </c>
      <c r="H54" s="24">
        <v>3375000</v>
      </c>
      <c r="I54" s="24">
        <v>3333333.3333333335</v>
      </c>
      <c r="J54" s="24">
        <v>1214285.7142857143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</row>
    <row r="55" spans="1:44" s="26" customFormat="1" x14ac:dyDescent="0.2">
      <c r="A55" s="36" t="s">
        <v>73</v>
      </c>
      <c r="B55" s="25">
        <v>1122675</v>
      </c>
      <c r="C55" s="25"/>
      <c r="D55" s="25"/>
      <c r="E55" s="25"/>
      <c r="F55" s="25"/>
      <c r="G55" s="25">
        <v>1500000</v>
      </c>
      <c r="H55" s="25">
        <v>3375000</v>
      </c>
      <c r="I55" s="25">
        <v>3333333.3333333335</v>
      </c>
      <c r="J55" s="25">
        <v>1214285.7142857143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</row>
    <row r="56" spans="1:44" x14ac:dyDescent="0.2">
      <c r="A56" s="35" t="s">
        <v>75</v>
      </c>
      <c r="B56" s="24"/>
      <c r="C56" s="24">
        <v>1903875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</row>
    <row r="57" spans="1:44" s="26" customFormat="1" x14ac:dyDescent="0.2">
      <c r="A57" s="36" t="s">
        <v>73</v>
      </c>
      <c r="B57" s="25"/>
      <c r="C57" s="25">
        <v>1903875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</row>
    <row r="58" spans="1:44" x14ac:dyDescent="0.2">
      <c r="A58" s="35" t="s">
        <v>85</v>
      </c>
      <c r="B58" s="24"/>
      <c r="C58" s="24"/>
      <c r="D58" s="24"/>
      <c r="E58" s="24"/>
      <c r="F58" s="24"/>
      <c r="G58" s="24"/>
      <c r="H58" s="24"/>
      <c r="I58" s="24"/>
      <c r="J58" s="24">
        <v>1800000</v>
      </c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</row>
    <row r="59" spans="1:44" s="26" customFormat="1" x14ac:dyDescent="0.2">
      <c r="A59" s="36" t="s">
        <v>73</v>
      </c>
      <c r="B59" s="25"/>
      <c r="C59" s="25"/>
      <c r="D59" s="25"/>
      <c r="E59" s="25"/>
      <c r="F59" s="25"/>
      <c r="G59" s="25"/>
      <c r="H59" s="25"/>
      <c r="I59" s="25"/>
      <c r="J59" s="25">
        <v>1800000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</row>
    <row r="60" spans="1:44" x14ac:dyDescent="0.2">
      <c r="A60" s="35" t="s">
        <v>89</v>
      </c>
      <c r="B60" s="24"/>
      <c r="C60" s="24"/>
      <c r="D60" s="24"/>
      <c r="E60" s="24"/>
      <c r="F60" s="24"/>
      <c r="G60" s="24"/>
      <c r="H60" s="24"/>
      <c r="I60" s="24"/>
      <c r="J60" s="24"/>
      <c r="K60" s="24">
        <v>1295000</v>
      </c>
      <c r="L60" s="24">
        <v>897647.0588235294</v>
      </c>
      <c r="M60" s="24">
        <v>735695.92857142852</v>
      </c>
      <c r="N60" s="24">
        <v>925766.06818181823</v>
      </c>
      <c r="O60" s="24">
        <v>1006321</v>
      </c>
      <c r="P60" s="24">
        <v>1500303.0303030303</v>
      </c>
      <c r="Q60" s="24">
        <v>1892187.5</v>
      </c>
      <c r="R60" s="24">
        <v>1090168.7307692308</v>
      </c>
      <c r="S60" s="24">
        <v>2832502.2424242422</v>
      </c>
      <c r="T60" s="24">
        <v>4315000</v>
      </c>
      <c r="U60" s="24">
        <v>5659523.8095238097</v>
      </c>
      <c r="V60" s="24">
        <v>4227916.666666667</v>
      </c>
      <c r="W60" s="24">
        <v>2908235.2941176472</v>
      </c>
      <c r="X60" s="24">
        <v>966666.66666666663</v>
      </c>
      <c r="Y60" s="24">
        <v>640000</v>
      </c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</row>
    <row r="61" spans="1:44" s="26" customFormat="1" x14ac:dyDescent="0.2">
      <c r="A61" s="36" t="s">
        <v>73</v>
      </c>
      <c r="B61" s="25"/>
      <c r="C61" s="25"/>
      <c r="D61" s="25"/>
      <c r="E61" s="25"/>
      <c r="F61" s="25"/>
      <c r="G61" s="25"/>
      <c r="H61" s="25"/>
      <c r="I61" s="25"/>
      <c r="J61" s="25"/>
      <c r="K61" s="25">
        <v>1295000</v>
      </c>
      <c r="L61" s="25">
        <v>897647.0588235294</v>
      </c>
      <c r="M61" s="25">
        <v>735695.92857142852</v>
      </c>
      <c r="N61" s="25">
        <v>925766.06818181823</v>
      </c>
      <c r="O61" s="25">
        <v>1006321</v>
      </c>
      <c r="P61" s="25">
        <v>1500303.0303030303</v>
      </c>
      <c r="Q61" s="25">
        <v>1892187.5</v>
      </c>
      <c r="R61" s="25">
        <v>1090168.7307692308</v>
      </c>
      <c r="S61" s="25">
        <v>2832502.2424242422</v>
      </c>
      <c r="T61" s="25">
        <v>4315000</v>
      </c>
      <c r="U61" s="25">
        <v>5659523.8095238097</v>
      </c>
      <c r="V61" s="25">
        <v>4227916.666666667</v>
      </c>
      <c r="W61" s="25">
        <v>2908235.2941176472</v>
      </c>
      <c r="X61" s="25">
        <v>966666.66666666663</v>
      </c>
      <c r="Y61" s="25">
        <v>640000</v>
      </c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</row>
    <row r="62" spans="1:44" s="29" customFormat="1" ht="12.5" thickBot="1" x14ac:dyDescent="0.25">
      <c r="A62" s="37" t="s">
        <v>61</v>
      </c>
      <c r="B62" s="40">
        <v>848035.35135135136</v>
      </c>
      <c r="C62" s="40">
        <v>80255.178907721274</v>
      </c>
      <c r="D62" s="40">
        <v>40557.811158798286</v>
      </c>
      <c r="E62" s="40">
        <v>98075.322299651569</v>
      </c>
      <c r="F62" s="40">
        <v>36104.4843726408</v>
      </c>
      <c r="G62" s="40">
        <v>33295.084824624195</v>
      </c>
      <c r="H62" s="40">
        <v>499276.16753926704</v>
      </c>
      <c r="I62" s="40">
        <v>47876.494069806846</v>
      </c>
      <c r="J62" s="40">
        <v>69685.375740567513</v>
      </c>
      <c r="K62" s="40">
        <v>107441.00964265456</v>
      </c>
      <c r="L62" s="40">
        <v>107295.47823706543</v>
      </c>
      <c r="M62" s="40">
        <v>135205.07826212057</v>
      </c>
      <c r="N62" s="40">
        <v>157364.76839947829</v>
      </c>
      <c r="O62" s="40">
        <v>152586.69219168901</v>
      </c>
      <c r="P62" s="40">
        <v>230366.48370325935</v>
      </c>
      <c r="Q62" s="40">
        <v>225420.85697830678</v>
      </c>
      <c r="R62" s="40">
        <v>294845.02288237656</v>
      </c>
      <c r="S62" s="40">
        <v>336994.17597765365</v>
      </c>
      <c r="T62" s="40">
        <v>378233.09964093356</v>
      </c>
      <c r="U62" s="40">
        <v>476079.7222982216</v>
      </c>
      <c r="V62" s="40">
        <v>1106397.7362397821</v>
      </c>
      <c r="W62" s="40">
        <v>1149604.8956310679</v>
      </c>
      <c r="X62" s="40">
        <v>1179373.215498155</v>
      </c>
      <c r="Y62" s="40">
        <v>1745702.2555910542</v>
      </c>
      <c r="Z62" s="40">
        <v>1829601.5148514851</v>
      </c>
      <c r="AA62" s="40">
        <v>2385179.8104631216</v>
      </c>
      <c r="AB62" s="40">
        <v>2538754.9840764333</v>
      </c>
      <c r="AC62" s="40">
        <v>2468087.5310015897</v>
      </c>
      <c r="AD62" s="40">
        <v>2271795.2985305493</v>
      </c>
      <c r="AE62" s="40">
        <v>2269376.1067264574</v>
      </c>
      <c r="AF62" s="40">
        <v>1967495.2741020794</v>
      </c>
      <c r="AG62" s="40">
        <v>1736513.5823429541</v>
      </c>
      <c r="AH62" s="40">
        <v>1392783.4045714287</v>
      </c>
      <c r="AI62" s="40">
        <v>1277737.2294416244</v>
      </c>
      <c r="AJ62" s="40">
        <v>1174069.9269565218</v>
      </c>
      <c r="AK62" s="40">
        <v>1061312.1783876501</v>
      </c>
      <c r="AL62" s="40">
        <v>1031260.4665911664</v>
      </c>
      <c r="AM62" s="40">
        <v>1011298.2998454405</v>
      </c>
      <c r="AN62" s="40">
        <v>1063079.0960451977</v>
      </c>
      <c r="AO62" s="40">
        <v>1055297.0297029703</v>
      </c>
      <c r="AP62" s="40">
        <v>1031075.0507099391</v>
      </c>
      <c r="AQ62" s="40">
        <v>932127.19298245618</v>
      </c>
      <c r="AR62" s="40">
        <v>1082425.5319148935</v>
      </c>
    </row>
    <row r="65" spans="1:44" x14ac:dyDescent="0.2">
      <c r="A65" s="5"/>
      <c r="B65" s="6" t="s">
        <v>138</v>
      </c>
      <c r="C65" s="6" t="s">
        <v>139</v>
      </c>
      <c r="D65" s="6" t="s">
        <v>140</v>
      </c>
      <c r="E65" s="6" t="s">
        <v>141</v>
      </c>
      <c r="F65" s="6" t="s">
        <v>142</v>
      </c>
      <c r="G65" s="6" t="s">
        <v>143</v>
      </c>
      <c r="H65" s="6" t="s">
        <v>144</v>
      </c>
      <c r="I65" s="6" t="s">
        <v>145</v>
      </c>
      <c r="J65" s="6" t="s">
        <v>146</v>
      </c>
      <c r="K65" s="6" t="s">
        <v>150</v>
      </c>
      <c r="L65" s="6" t="s">
        <v>151</v>
      </c>
      <c r="M65" s="6" t="s">
        <v>152</v>
      </c>
      <c r="N65" s="6" t="s">
        <v>153</v>
      </c>
      <c r="O65" s="6" t="s">
        <v>154</v>
      </c>
      <c r="P65" s="6" t="s">
        <v>155</v>
      </c>
      <c r="Q65" s="6" t="s">
        <v>156</v>
      </c>
      <c r="R65" s="6" t="s">
        <v>157</v>
      </c>
      <c r="S65" s="6" t="s">
        <v>158</v>
      </c>
      <c r="T65" s="6" t="s">
        <v>159</v>
      </c>
      <c r="U65" s="6" t="s">
        <v>160</v>
      </c>
      <c r="V65" s="6" t="s">
        <v>161</v>
      </c>
      <c r="W65" s="6" t="s">
        <v>162</v>
      </c>
      <c r="X65" s="6" t="s">
        <v>163</v>
      </c>
      <c r="Y65" s="6" t="s">
        <v>164</v>
      </c>
      <c r="Z65" s="6" t="s">
        <v>165</v>
      </c>
      <c r="AA65" s="6" t="s">
        <v>166</v>
      </c>
      <c r="AB65" s="6" t="s">
        <v>167</v>
      </c>
      <c r="AC65" s="6" t="s">
        <v>168</v>
      </c>
      <c r="AD65" s="6" t="s">
        <v>169</v>
      </c>
      <c r="AE65" s="6" t="s">
        <v>170</v>
      </c>
      <c r="AF65" s="6" t="s">
        <v>171</v>
      </c>
      <c r="AG65" s="6" t="s">
        <v>172</v>
      </c>
      <c r="AH65" s="6" t="s">
        <v>173</v>
      </c>
      <c r="AI65" s="6" t="s">
        <v>174</v>
      </c>
      <c r="AJ65" s="6" t="s">
        <v>175</v>
      </c>
      <c r="AK65" s="6" t="s">
        <v>176</v>
      </c>
      <c r="AL65" s="6" t="s">
        <v>177</v>
      </c>
      <c r="AM65" s="6" t="s">
        <v>178</v>
      </c>
      <c r="AN65" s="6" t="s">
        <v>179</v>
      </c>
      <c r="AO65" s="6" t="s">
        <v>180</v>
      </c>
      <c r="AP65" s="6" t="s">
        <v>181</v>
      </c>
      <c r="AQ65" s="6" t="s">
        <v>182</v>
      </c>
      <c r="AR65" s="6" t="s">
        <v>183</v>
      </c>
    </row>
    <row r="66" spans="1:44" x14ac:dyDescent="0.2">
      <c r="A66" s="61" t="s">
        <v>235</v>
      </c>
      <c r="B66" s="24">
        <v>77750</v>
      </c>
      <c r="C66" s="24">
        <v>400000</v>
      </c>
      <c r="D66" s="24">
        <v>298333.33333333331</v>
      </c>
      <c r="E66" s="24">
        <v>313333.33333333331</v>
      </c>
      <c r="F66" s="24">
        <v>354545.45454545453</v>
      </c>
      <c r="G66" s="24">
        <v>685714.28571428568</v>
      </c>
      <c r="H66" s="24">
        <v>335000</v>
      </c>
      <c r="I66" s="24">
        <v>529444.4444444445</v>
      </c>
      <c r="J66" s="24">
        <v>531648.1481481482</v>
      </c>
      <c r="K66" s="24">
        <v>745765.43209876539</v>
      </c>
      <c r="L66" s="24">
        <v>874745.76271186443</v>
      </c>
      <c r="M66" s="24">
        <v>876632.6530612245</v>
      </c>
      <c r="N66" s="24">
        <v>1055333.388888889</v>
      </c>
      <c r="O66" s="24">
        <v>1721937.0333333334</v>
      </c>
      <c r="P66" s="24">
        <v>1575103.7985611511</v>
      </c>
      <c r="Q66" s="24">
        <v>1955428.768041237</v>
      </c>
      <c r="R66" s="24">
        <v>2099661.5606060605</v>
      </c>
      <c r="S66" s="24">
        <v>1999151.1278688523</v>
      </c>
      <c r="T66" s="24">
        <v>2497803.0964285713</v>
      </c>
      <c r="U66" s="24">
        <v>2696014.0133333332</v>
      </c>
      <c r="V66" s="24">
        <v>2222467.0396226416</v>
      </c>
      <c r="W66" s="24">
        <v>2390211.3166023167</v>
      </c>
      <c r="X66" s="24">
        <v>2445177.3412527</v>
      </c>
      <c r="Y66" s="24">
        <v>2480035.1493848856</v>
      </c>
      <c r="Z66" s="24">
        <v>2583287.3862158647</v>
      </c>
      <c r="AA66" s="24">
        <v>2483768.6996547757</v>
      </c>
      <c r="AB66" s="24">
        <v>2488655.2540322579</v>
      </c>
      <c r="AC66" s="24">
        <v>2401159.3163565132</v>
      </c>
      <c r="AD66" s="24">
        <v>2351807.6086956523</v>
      </c>
      <c r="AE66" s="24">
        <v>2330503.2258064514</v>
      </c>
      <c r="AF66" s="24">
        <v>2181134.2894393741</v>
      </c>
      <c r="AG66" s="24">
        <v>2153037.2340425532</v>
      </c>
      <c r="AH66" s="24">
        <v>1923442.3545081967</v>
      </c>
      <c r="AI66" s="24">
        <v>1612119.0550774527</v>
      </c>
      <c r="AJ66" s="24">
        <v>1286589.4465894466</v>
      </c>
      <c r="AK66" s="24">
        <v>1036747.9674796748</v>
      </c>
      <c r="AL66" s="24">
        <v>952311.24807395996</v>
      </c>
      <c r="AM66" s="24">
        <v>858273.68421052629</v>
      </c>
      <c r="AN66" s="24">
        <v>933450.98039215687</v>
      </c>
      <c r="AO66" s="24">
        <v>965372.46049661399</v>
      </c>
      <c r="AP66" s="24">
        <v>1017383.7209302326</v>
      </c>
      <c r="AQ66" s="24">
        <v>900354.83870967745</v>
      </c>
      <c r="AR66" s="24">
        <v>1136295.1807228916</v>
      </c>
    </row>
    <row r="67" spans="1:44" x14ac:dyDescent="0.2">
      <c r="A67" s="61" t="s">
        <v>237</v>
      </c>
      <c r="B67" s="24"/>
      <c r="C67" s="24"/>
      <c r="D67" s="24"/>
      <c r="E67" s="24"/>
      <c r="F67" s="24">
        <v>16592</v>
      </c>
      <c r="G67" s="24">
        <v>16096.697438633939</v>
      </c>
      <c r="H67" s="24"/>
      <c r="I67" s="24">
        <v>15419.315752461322</v>
      </c>
      <c r="J67" s="24">
        <v>17718.160767449554</v>
      </c>
      <c r="K67" s="24">
        <v>387525.95155709342</v>
      </c>
      <c r="L67" s="24">
        <v>311843.50323974079</v>
      </c>
      <c r="M67" s="24">
        <v>67055.427996283674</v>
      </c>
      <c r="N67" s="24">
        <v>127580.04379232506</v>
      </c>
      <c r="O67" s="24">
        <v>107835.34005118362</v>
      </c>
      <c r="P67" s="24">
        <v>169719.29119123687</v>
      </c>
      <c r="Q67" s="24">
        <v>127154.27001356852</v>
      </c>
      <c r="R67" s="24">
        <v>101133.85796344647</v>
      </c>
      <c r="S67" s="24">
        <v>65012.555210918115</v>
      </c>
      <c r="T67" s="24">
        <v>69271.998549673677</v>
      </c>
      <c r="U67" s="24">
        <v>69226.433164128597</v>
      </c>
      <c r="V67" s="24">
        <v>71828.179060665367</v>
      </c>
      <c r="W67" s="24">
        <v>58935.66480446927</v>
      </c>
      <c r="X67" s="24">
        <v>70992.593360995845</v>
      </c>
      <c r="Y67" s="24">
        <v>91262.761290322582</v>
      </c>
      <c r="Z67" s="24">
        <v>89547.060386473429</v>
      </c>
      <c r="AA67" s="24">
        <v>527572.661971831</v>
      </c>
      <c r="AB67" s="24">
        <v>618575.43478260865</v>
      </c>
      <c r="AC67" s="24">
        <v>599201.40540540544</v>
      </c>
      <c r="AD67" s="24">
        <v>630389.66071428568</v>
      </c>
      <c r="AE67" s="24">
        <v>666209.67741935479</v>
      </c>
      <c r="AF67" s="24">
        <v>629014.08450704231</v>
      </c>
      <c r="AG67" s="24">
        <v>674966.98113207542</v>
      </c>
      <c r="AH67" s="24">
        <v>634318.7890625</v>
      </c>
      <c r="AI67" s="24">
        <v>635671.64179104473</v>
      </c>
      <c r="AJ67" s="24">
        <v>833968.25396825396</v>
      </c>
      <c r="AK67" s="24">
        <v>1203960.396039604</v>
      </c>
      <c r="AL67" s="24">
        <v>1335675.6756756757</v>
      </c>
      <c r="AM67" s="24">
        <v>1383125</v>
      </c>
      <c r="AN67" s="24">
        <v>1538181.8181818181</v>
      </c>
      <c r="AO67" s="24">
        <v>1600000</v>
      </c>
      <c r="AP67" s="24">
        <v>1393928.5714285714</v>
      </c>
      <c r="AQ67" s="24">
        <v>1545625</v>
      </c>
      <c r="AR67" s="24">
        <v>1567307.6923076923</v>
      </c>
    </row>
    <row r="68" spans="1:44" x14ac:dyDescent="0.2">
      <c r="A68" s="61" t="s">
        <v>236</v>
      </c>
      <c r="B68" s="24">
        <v>3133216.6153846155</v>
      </c>
      <c r="C68" s="24">
        <v>5000000</v>
      </c>
      <c r="D68" s="24">
        <v>3350000</v>
      </c>
      <c r="E68" s="24">
        <v>4665000</v>
      </c>
      <c r="F68" s="24">
        <v>1900000</v>
      </c>
      <c r="G68" s="24">
        <v>2674625</v>
      </c>
      <c r="H68" s="24">
        <v>2795000</v>
      </c>
      <c r="I68" s="24">
        <v>4000000</v>
      </c>
      <c r="J68" s="24">
        <v>3479057.1428571427</v>
      </c>
      <c r="K68" s="24">
        <v>3477727.2727272729</v>
      </c>
      <c r="L68" s="24">
        <v>1609375</v>
      </c>
      <c r="M68" s="24">
        <v>3254866.6666666665</v>
      </c>
      <c r="N68" s="24">
        <v>3376470.588235294</v>
      </c>
      <c r="O68" s="24">
        <v>4800137.2857142854</v>
      </c>
      <c r="P68" s="24">
        <v>5335714.5</v>
      </c>
      <c r="Q68" s="24">
        <v>6685294.1176470593</v>
      </c>
      <c r="R68" s="24">
        <v>9868112.333333334</v>
      </c>
      <c r="S68" s="24">
        <v>8873455.5</v>
      </c>
      <c r="T68" s="24">
        <v>9010806.1147540975</v>
      </c>
      <c r="U68" s="24">
        <v>9731508.421052631</v>
      </c>
      <c r="V68" s="24">
        <v>8243459.3499999996</v>
      </c>
      <c r="W68" s="24">
        <v>9156666.666666666</v>
      </c>
      <c r="X68" s="24">
        <v>9297147.7575757578</v>
      </c>
      <c r="Y68" s="24">
        <v>10143052.542372881</v>
      </c>
      <c r="Z68" s="24">
        <v>8922826.0869565215</v>
      </c>
      <c r="AA68" s="24">
        <v>7610169.4915254237</v>
      </c>
      <c r="AB68" s="24">
        <v>7568533.333333333</v>
      </c>
      <c r="AC68" s="24">
        <v>7199315.0684931511</v>
      </c>
      <c r="AD68" s="24">
        <v>6416842.1052631577</v>
      </c>
      <c r="AE68" s="24">
        <v>6419336.6904761903</v>
      </c>
      <c r="AF68" s="24">
        <v>7070967.7419354841</v>
      </c>
      <c r="AG68" s="24">
        <v>6532352.9411764704</v>
      </c>
      <c r="AH68" s="24">
        <v>7164285.7142857146</v>
      </c>
      <c r="AI68" s="24">
        <v>6918750</v>
      </c>
      <c r="AJ68" s="24">
        <v>5243333.333333333</v>
      </c>
      <c r="AK68" s="24">
        <v>3785714.2857142859</v>
      </c>
      <c r="AL68" s="24">
        <v>3516666.6666666665</v>
      </c>
      <c r="AM68" s="24">
        <v>6716666.666666667</v>
      </c>
      <c r="AN68" s="24">
        <v>6088888.888888889</v>
      </c>
      <c r="AO68" s="24">
        <v>4871666.666666667</v>
      </c>
      <c r="AP68" s="24">
        <v>5758333.333333333</v>
      </c>
      <c r="AQ68" s="24">
        <v>7115000</v>
      </c>
      <c r="AR68" s="24">
        <v>6550000</v>
      </c>
    </row>
    <row r="69" spans="1:44" x14ac:dyDescent="0.2">
      <c r="A69" s="61" t="s">
        <v>238</v>
      </c>
      <c r="B69" s="24">
        <v>190000</v>
      </c>
      <c r="C69" s="24">
        <v>30000</v>
      </c>
      <c r="D69" s="24">
        <v>26379.430656934306</v>
      </c>
      <c r="E69" s="24">
        <v>42685.777576853528</v>
      </c>
      <c r="F69" s="24">
        <v>53997.194950911638</v>
      </c>
      <c r="G69" s="24">
        <v>50509.643171806165</v>
      </c>
      <c r="H69" s="24">
        <v>94480.443786982243</v>
      </c>
      <c r="I69" s="24">
        <v>46490.196078431371</v>
      </c>
      <c r="J69" s="24">
        <v>105091.9540229885</v>
      </c>
      <c r="K69" s="24">
        <v>364705.8823529412</v>
      </c>
      <c r="L69" s="24">
        <v>521976.33136094676</v>
      </c>
      <c r="M69" s="24">
        <v>657760.54444444447</v>
      </c>
      <c r="N69" s="24">
        <v>845481.14336917561</v>
      </c>
      <c r="O69" s="24">
        <v>823044.98924731184</v>
      </c>
      <c r="P69" s="24">
        <v>1025995.046875</v>
      </c>
      <c r="Q69" s="24">
        <v>865992</v>
      </c>
      <c r="R69" s="24">
        <v>811378.57142857148</v>
      </c>
      <c r="S69" s="24">
        <v>768547.31645569624</v>
      </c>
      <c r="T69" s="24">
        <v>1031615.76</v>
      </c>
      <c r="U69" s="24">
        <v>757376.97402597405</v>
      </c>
      <c r="V69" s="24">
        <v>688086.18012422358</v>
      </c>
      <c r="W69" s="24">
        <v>713315.03947368416</v>
      </c>
      <c r="X69" s="24">
        <v>721162.60162601632</v>
      </c>
      <c r="Y69" s="24">
        <v>790651.07913669059</v>
      </c>
      <c r="Z69" s="24">
        <v>752418.94767441857</v>
      </c>
      <c r="AA69" s="24">
        <v>779275.641025641</v>
      </c>
      <c r="AB69" s="24">
        <v>817105.83941605838</v>
      </c>
      <c r="AC69" s="24">
        <v>788461.5384615385</v>
      </c>
      <c r="AD69" s="24">
        <v>566635.32110091741</v>
      </c>
      <c r="AE69" s="24">
        <v>692311.82795698929</v>
      </c>
      <c r="AF69" s="24">
        <v>687796.6101694915</v>
      </c>
      <c r="AG69" s="24">
        <v>838683.93782383425</v>
      </c>
      <c r="AH69" s="24">
        <v>490701.75438596489</v>
      </c>
      <c r="AI69" s="24">
        <v>657880.43478260865</v>
      </c>
      <c r="AJ69" s="24">
        <v>912103.00429184549</v>
      </c>
      <c r="AK69" s="24">
        <v>1008549.2227979274</v>
      </c>
      <c r="AL69" s="24">
        <v>1167756.4102564103</v>
      </c>
      <c r="AM69" s="24">
        <v>1305042.735042735</v>
      </c>
      <c r="AN69" s="24">
        <v>1022366.4122137404</v>
      </c>
      <c r="AO69" s="24">
        <v>954038.4615384615</v>
      </c>
      <c r="AP69" s="24">
        <v>736194.69026548672</v>
      </c>
      <c r="AQ69" s="24">
        <v>614862.38532110094</v>
      </c>
      <c r="AR69" s="24">
        <v>563142.85714285716</v>
      </c>
    </row>
    <row r="70" spans="1:44" x14ac:dyDescent="0.2">
      <c r="A70" s="61" t="s">
        <v>239</v>
      </c>
      <c r="B70" s="24"/>
      <c r="C70" s="24"/>
      <c r="D70" s="24"/>
      <c r="E70" s="24"/>
      <c r="F70" s="24"/>
      <c r="G70" s="24"/>
      <c r="H70" s="24"/>
      <c r="I70" s="24"/>
      <c r="J70" s="24"/>
      <c r="K70" s="24">
        <v>24484.193011647254</v>
      </c>
      <c r="L70" s="24">
        <v>22783.48924547627</v>
      </c>
      <c r="M70" s="24">
        <v>126685.58754750073</v>
      </c>
      <c r="N70" s="24">
        <v>68433.705691642652</v>
      </c>
      <c r="O70" s="24">
        <v>72041.715184893779</v>
      </c>
      <c r="P70" s="24">
        <v>77089.262180016522</v>
      </c>
      <c r="Q70" s="24">
        <v>71010.652680652682</v>
      </c>
      <c r="R70" s="24">
        <v>63004.076502732241</v>
      </c>
      <c r="S70" s="24">
        <v>65198.604288499024</v>
      </c>
      <c r="T70" s="24">
        <v>57865.057339449544</v>
      </c>
      <c r="U70" s="24">
        <v>58264.385530227948</v>
      </c>
      <c r="V70" s="24">
        <v>1896433.6842105263</v>
      </c>
      <c r="W70" s="24">
        <v>1607528.5714285714</v>
      </c>
      <c r="X70" s="24">
        <v>1619707.7</v>
      </c>
      <c r="Y70" s="24">
        <v>1366762.6666666667</v>
      </c>
      <c r="Z70" s="24">
        <v>1813076.923076923</v>
      </c>
      <c r="AA70" s="24">
        <v>1336363.6363636365</v>
      </c>
      <c r="AB70" s="24">
        <v>1982046.3333333333</v>
      </c>
      <c r="AC70" s="24">
        <v>1330000</v>
      </c>
      <c r="AD70" s="24">
        <v>1335000</v>
      </c>
      <c r="AE70" s="24">
        <v>1864384.625</v>
      </c>
      <c r="AF70" s="24">
        <v>1923333.3333333333</v>
      </c>
      <c r="AG70" s="24">
        <v>2630000</v>
      </c>
      <c r="AH70" s="24">
        <v>580000</v>
      </c>
      <c r="AI70" s="24">
        <v>1696666.6666666667</v>
      </c>
      <c r="AJ70" s="24">
        <v>1432500</v>
      </c>
      <c r="AK70" s="24">
        <v>300000</v>
      </c>
      <c r="AL70" s="24"/>
      <c r="AM70" s="24">
        <v>1515000</v>
      </c>
      <c r="AN70" s="24">
        <v>1090000</v>
      </c>
      <c r="AO70" s="24"/>
      <c r="AP70" s="24">
        <v>1000000</v>
      </c>
      <c r="AQ70" s="24">
        <v>1000000</v>
      </c>
      <c r="AR70" s="24"/>
    </row>
    <row r="71" spans="1:44" x14ac:dyDescent="0.2">
      <c r="A71" s="61" t="s">
        <v>60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>
        <v>1301250</v>
      </c>
      <c r="AI71" s="24">
        <v>1583750</v>
      </c>
      <c r="AJ71" s="24">
        <v>1634345.142857143</v>
      </c>
      <c r="AK71" s="24">
        <v>600000</v>
      </c>
      <c r="AL71" s="24">
        <v>992992</v>
      </c>
      <c r="AM71" s="24">
        <v>2185000</v>
      </c>
      <c r="AN71" s="24"/>
      <c r="AO71" s="24">
        <v>200000</v>
      </c>
      <c r="AP71" s="24">
        <v>570000</v>
      </c>
      <c r="AQ71" s="24"/>
      <c r="AR71" s="24">
        <v>1803333.3333333333</v>
      </c>
    </row>
    <row r="72" spans="1:44" x14ac:dyDescent="0.2">
      <c r="A72" s="61" t="s">
        <v>70</v>
      </c>
      <c r="B72" s="24">
        <v>1122675</v>
      </c>
      <c r="C72" s="24"/>
      <c r="D72" s="24"/>
      <c r="E72" s="24"/>
      <c r="F72" s="24"/>
      <c r="G72" s="24">
        <v>1500000</v>
      </c>
      <c r="H72" s="24">
        <v>3375000</v>
      </c>
      <c r="I72" s="24">
        <v>3333333.3333333335</v>
      </c>
      <c r="J72" s="24">
        <v>1214285.7142857143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</row>
    <row r="73" spans="1:44" x14ac:dyDescent="0.2">
      <c r="A73" s="61" t="s">
        <v>75</v>
      </c>
      <c r="B73" s="24"/>
      <c r="C73" s="24">
        <v>1903875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</row>
    <row r="74" spans="1:44" x14ac:dyDescent="0.2">
      <c r="A74" s="61" t="s">
        <v>240</v>
      </c>
      <c r="B74" s="24"/>
      <c r="C74" s="24"/>
      <c r="D74" s="24"/>
      <c r="E74" s="24"/>
      <c r="F74" s="24"/>
      <c r="G74" s="24"/>
      <c r="H74" s="24"/>
      <c r="I74" s="24"/>
      <c r="J74" s="24">
        <v>1800000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</row>
    <row r="75" spans="1:44" x14ac:dyDescent="0.2">
      <c r="A75" s="61" t="s">
        <v>89</v>
      </c>
      <c r="B75" s="24"/>
      <c r="C75" s="24"/>
      <c r="D75" s="24"/>
      <c r="E75" s="24"/>
      <c r="F75" s="24"/>
      <c r="G75" s="24"/>
      <c r="H75" s="24"/>
      <c r="I75" s="24"/>
      <c r="J75" s="24"/>
      <c r="K75" s="24">
        <v>1295000</v>
      </c>
      <c r="L75" s="24">
        <v>897647.0588235294</v>
      </c>
      <c r="M75" s="24">
        <v>735695.92857142852</v>
      </c>
      <c r="N75" s="24">
        <v>925766.06818181823</v>
      </c>
      <c r="O75" s="24">
        <v>1006321</v>
      </c>
      <c r="P75" s="24">
        <v>1500303.0303030303</v>
      </c>
      <c r="Q75" s="24">
        <v>1892187.5</v>
      </c>
      <c r="R75" s="24">
        <v>1090168.7307692308</v>
      </c>
      <c r="S75" s="24">
        <v>2832502.2424242422</v>
      </c>
      <c r="T75" s="24">
        <v>4315000</v>
      </c>
      <c r="U75" s="24">
        <v>5659523.8095238097</v>
      </c>
      <c r="V75" s="24">
        <v>4227916.666666667</v>
      </c>
      <c r="W75" s="24">
        <v>2908235.2941176472</v>
      </c>
      <c r="X75" s="24">
        <v>966666.66666666663</v>
      </c>
      <c r="Y75" s="24">
        <v>640000</v>
      </c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</row>
    <row r="76" spans="1:44" x14ac:dyDescent="0.2">
      <c r="A76" s="61" t="s">
        <v>61</v>
      </c>
      <c r="B76" s="24">
        <v>848035.35135135136</v>
      </c>
      <c r="C76" s="24">
        <v>80255.178907721274</v>
      </c>
      <c r="D76" s="24">
        <v>40557.811158798286</v>
      </c>
      <c r="E76" s="24">
        <v>98075.322299651569</v>
      </c>
      <c r="F76" s="24">
        <v>36104.4843726408</v>
      </c>
      <c r="G76" s="24">
        <v>33295.084824624195</v>
      </c>
      <c r="H76" s="24">
        <v>499276.16753926704</v>
      </c>
      <c r="I76" s="24">
        <v>47876.494069806846</v>
      </c>
      <c r="J76" s="24">
        <v>69685.375740567513</v>
      </c>
      <c r="K76" s="24">
        <v>107441.00964265456</v>
      </c>
      <c r="L76" s="24">
        <v>107295.47823706543</v>
      </c>
      <c r="M76" s="24">
        <v>135205.07826212057</v>
      </c>
      <c r="N76" s="24">
        <v>157364.76839947829</v>
      </c>
      <c r="O76" s="24">
        <v>152586.69219168901</v>
      </c>
      <c r="P76" s="24">
        <v>230366.48370325935</v>
      </c>
      <c r="Q76" s="24">
        <v>225420.85697830678</v>
      </c>
      <c r="R76" s="24">
        <v>294845.02288237656</v>
      </c>
      <c r="S76" s="24">
        <v>336994.17597765365</v>
      </c>
      <c r="T76" s="24">
        <v>378233.09964093356</v>
      </c>
      <c r="U76" s="24">
        <v>476079.7222982216</v>
      </c>
      <c r="V76" s="24">
        <v>1106397.7362397821</v>
      </c>
      <c r="W76" s="24">
        <v>1149604.8956310679</v>
      </c>
      <c r="X76" s="24">
        <v>1179373.215498155</v>
      </c>
      <c r="Y76" s="24">
        <v>1745702.2555910542</v>
      </c>
      <c r="Z76" s="24">
        <v>1829601.5148514851</v>
      </c>
      <c r="AA76" s="24">
        <v>2385179.8104631216</v>
      </c>
      <c r="AB76" s="24">
        <v>2538754.9840764333</v>
      </c>
      <c r="AC76" s="24">
        <v>2468087.5310015897</v>
      </c>
      <c r="AD76" s="24">
        <v>2271795.2985305493</v>
      </c>
      <c r="AE76" s="24">
        <v>2269376.1067264574</v>
      </c>
      <c r="AF76" s="24">
        <v>1967495.2741020794</v>
      </c>
      <c r="AG76" s="24">
        <v>1736513.5823429541</v>
      </c>
      <c r="AH76" s="24">
        <v>1392783.4045714287</v>
      </c>
      <c r="AI76" s="24">
        <v>1277737.2294416244</v>
      </c>
      <c r="AJ76" s="24">
        <v>1174069.9269565218</v>
      </c>
      <c r="AK76" s="24">
        <v>1061312.1783876501</v>
      </c>
      <c r="AL76" s="24">
        <v>1031260.4665911664</v>
      </c>
      <c r="AM76" s="24">
        <v>1011298.2998454405</v>
      </c>
      <c r="AN76" s="24">
        <v>1063079.0960451977</v>
      </c>
      <c r="AO76" s="24">
        <v>1055297.0297029703</v>
      </c>
      <c r="AP76" s="24">
        <v>1031075.0507099391</v>
      </c>
      <c r="AQ76" s="24">
        <v>932127.19298245618</v>
      </c>
      <c r="AR76" s="24">
        <v>1082425.5319148935</v>
      </c>
    </row>
  </sheetData>
  <phoneticPr fontId="2"/>
  <pageMargins left="0.51181102362204722" right="0.51181102362204722" top="0.55118110236220474" bottom="0.55118110236220474" header="0.31496062992125984" footer="0.31496062992125984"/>
  <pageSetup paperSize="9" scale="98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74E0E-5E51-4F19-8B74-5BB3CA07074A}">
  <sheetPr>
    <pageSetUpPr fitToPage="1"/>
  </sheetPr>
  <dimension ref="A1:AP81"/>
  <sheetViews>
    <sheetView zoomScale="99" zoomScaleNormal="99" zoomScaleSheetLayoutView="80" workbookViewId="0">
      <selection activeCell="AH78" activeCellId="1" sqref="A78:A81 AH78:AP81"/>
    </sheetView>
  </sheetViews>
  <sheetFormatPr defaultColWidth="9.08984375" defaultRowHeight="12" x14ac:dyDescent="0.2"/>
  <cols>
    <col min="1" max="1" width="15.81640625" style="33" customWidth="1"/>
    <col min="2" max="42" width="15.6328125" style="7" customWidth="1"/>
    <col min="43" max="16384" width="9.08984375" style="5"/>
  </cols>
  <sheetData>
    <row r="1" spans="1:42" x14ac:dyDescent="0.2">
      <c r="A1" s="33" t="s">
        <v>11</v>
      </c>
    </row>
    <row r="2" spans="1:42" ht="12.5" thickBot="1" x14ac:dyDescent="0.25">
      <c r="B2" s="6" t="s">
        <v>138</v>
      </c>
      <c r="C2" s="6" t="s">
        <v>139</v>
      </c>
      <c r="D2" s="6" t="s">
        <v>142</v>
      </c>
      <c r="E2" s="6" t="s">
        <v>143</v>
      </c>
      <c r="F2" s="6" t="s">
        <v>144</v>
      </c>
      <c r="G2" s="6" t="s">
        <v>145</v>
      </c>
      <c r="H2" s="6" t="s">
        <v>146</v>
      </c>
      <c r="I2" s="6" t="s">
        <v>150</v>
      </c>
      <c r="J2" s="6" t="s">
        <v>151</v>
      </c>
      <c r="K2" s="6" t="s">
        <v>152</v>
      </c>
      <c r="L2" s="6" t="s">
        <v>153</v>
      </c>
      <c r="M2" s="6" t="s">
        <v>154</v>
      </c>
      <c r="N2" s="6" t="s">
        <v>155</v>
      </c>
      <c r="O2" s="6" t="s">
        <v>156</v>
      </c>
      <c r="P2" s="6" t="s">
        <v>157</v>
      </c>
      <c r="Q2" s="6" t="s">
        <v>158</v>
      </c>
      <c r="R2" s="6" t="s">
        <v>159</v>
      </c>
      <c r="S2" s="6" t="s">
        <v>160</v>
      </c>
      <c r="T2" s="6" t="s">
        <v>161</v>
      </c>
      <c r="U2" s="6" t="s">
        <v>162</v>
      </c>
      <c r="V2" s="6" t="s">
        <v>163</v>
      </c>
      <c r="W2" s="6" t="s">
        <v>164</v>
      </c>
      <c r="X2" s="6" t="s">
        <v>165</v>
      </c>
      <c r="Y2" s="6" t="s">
        <v>166</v>
      </c>
      <c r="Z2" s="6" t="s">
        <v>167</v>
      </c>
      <c r="AA2" s="6" t="s">
        <v>168</v>
      </c>
      <c r="AB2" s="6" t="s">
        <v>169</v>
      </c>
      <c r="AC2" s="6" t="s">
        <v>170</v>
      </c>
      <c r="AD2" s="6" t="s">
        <v>171</v>
      </c>
      <c r="AE2" s="6" t="s">
        <v>172</v>
      </c>
      <c r="AF2" s="6" t="s">
        <v>173</v>
      </c>
      <c r="AG2" s="6" t="s">
        <v>174</v>
      </c>
      <c r="AH2" s="6" t="s">
        <v>175</v>
      </c>
      <c r="AI2" s="6" t="s">
        <v>176</v>
      </c>
      <c r="AJ2" s="6" t="s">
        <v>177</v>
      </c>
      <c r="AK2" s="6" t="s">
        <v>178</v>
      </c>
      <c r="AL2" s="6" t="s">
        <v>179</v>
      </c>
      <c r="AM2" s="6" t="s">
        <v>180</v>
      </c>
      <c r="AN2" s="6" t="s">
        <v>181</v>
      </c>
      <c r="AO2" s="6" t="s">
        <v>182</v>
      </c>
      <c r="AP2" s="6" t="s">
        <v>183</v>
      </c>
    </row>
    <row r="3" spans="1:42" x14ac:dyDescent="0.2">
      <c r="A3" s="3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42" x14ac:dyDescent="0.2">
      <c r="A4" s="35" t="s">
        <v>72</v>
      </c>
      <c r="B4" s="24">
        <v>410026</v>
      </c>
      <c r="C4" s="24">
        <v>2400000</v>
      </c>
      <c r="D4" s="24">
        <f>281000+259000</f>
        <v>540000</v>
      </c>
      <c r="E4" s="24">
        <v>527000</v>
      </c>
      <c r="F4" s="24">
        <v>416000</v>
      </c>
      <c r="G4" s="24">
        <v>1516000</v>
      </c>
      <c r="H4" s="24">
        <v>3969000</v>
      </c>
      <c r="I4" s="24">
        <v>18050000</v>
      </c>
      <c r="J4" s="24">
        <v>14229823</v>
      </c>
      <c r="K4" s="24">
        <v>13191004</v>
      </c>
      <c r="L4" s="24">
        <v>9777901</v>
      </c>
      <c r="M4" s="24">
        <v>13274633</v>
      </c>
      <c r="N4" s="24">
        <v>27306604</v>
      </c>
      <c r="O4" s="24">
        <v>53071872</v>
      </c>
      <c r="P4" s="24">
        <v>98609395</v>
      </c>
      <c r="Q4" s="24">
        <v>141979414</v>
      </c>
      <c r="R4" s="24">
        <v>172471445</v>
      </c>
      <c r="S4" s="24">
        <v>198919443</v>
      </c>
      <c r="T4" s="24">
        <v>224995594</v>
      </c>
      <c r="U4" s="24">
        <v>274871952</v>
      </c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</row>
    <row r="5" spans="1:42" x14ac:dyDescent="0.2">
      <c r="A5" s="35" t="s">
        <v>109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>
        <v>2400497</v>
      </c>
      <c r="W5" s="24">
        <v>1332716</v>
      </c>
      <c r="X5" s="24">
        <v>793788</v>
      </c>
      <c r="Y5" s="24">
        <v>474261</v>
      </c>
      <c r="Z5" s="24">
        <v>295488</v>
      </c>
      <c r="AA5" s="24">
        <v>182071</v>
      </c>
      <c r="AB5" s="24">
        <v>109847</v>
      </c>
      <c r="AC5" s="24">
        <v>37360</v>
      </c>
      <c r="AD5" s="24">
        <v>182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42" ht="24" x14ac:dyDescent="0.2">
      <c r="A6" s="35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>
        <v>1995416</v>
      </c>
      <c r="AK6" s="24">
        <v>1076327</v>
      </c>
      <c r="AL6" s="24">
        <v>585152</v>
      </c>
      <c r="AM6" s="24">
        <v>351763</v>
      </c>
      <c r="AN6" s="24">
        <v>194290</v>
      </c>
      <c r="AO6" s="24">
        <v>119434</v>
      </c>
      <c r="AP6" s="24">
        <v>84584</v>
      </c>
    </row>
    <row r="7" spans="1:42" x14ac:dyDescent="0.2">
      <c r="A7" s="35" t="s">
        <v>34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>
        <v>167544202</v>
      </c>
      <c r="W7" s="24">
        <v>178939468</v>
      </c>
      <c r="X7" s="24">
        <v>212296012</v>
      </c>
      <c r="Y7" s="24">
        <v>258752842</v>
      </c>
      <c r="Z7" s="24">
        <v>314817661</v>
      </c>
      <c r="AA7" s="24">
        <v>363286671</v>
      </c>
      <c r="AB7" s="24">
        <v>397643906</v>
      </c>
      <c r="AC7" s="24">
        <v>411987128</v>
      </c>
      <c r="AD7" s="24">
        <v>407447343</v>
      </c>
      <c r="AE7" s="24">
        <v>393358881</v>
      </c>
      <c r="AF7" s="24">
        <v>358794297</v>
      </c>
      <c r="AG7" s="24">
        <v>309524549</v>
      </c>
      <c r="AH7" s="24">
        <v>258163817</v>
      </c>
      <c r="AI7" s="24">
        <v>218061331</v>
      </c>
      <c r="AJ7" s="24">
        <v>197619533</v>
      </c>
      <c r="AK7" s="24">
        <v>162063509</v>
      </c>
      <c r="AL7" s="24">
        <v>138556713</v>
      </c>
      <c r="AM7" s="24">
        <v>121048244</v>
      </c>
      <c r="AN7" s="24">
        <v>106155928</v>
      </c>
      <c r="AO7" s="24">
        <v>93147921</v>
      </c>
      <c r="AP7" s="24">
        <v>83973883</v>
      </c>
    </row>
    <row r="8" spans="1:42" x14ac:dyDescent="0.2">
      <c r="A8" s="35" t="s">
        <v>35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11138</v>
      </c>
      <c r="X8" s="24">
        <v>7405</v>
      </c>
      <c r="Y8" s="24">
        <v>1560</v>
      </c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</row>
    <row r="9" spans="1:42" x14ac:dyDescent="0.2">
      <c r="A9" s="35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>
        <v>19854370</v>
      </c>
      <c r="W9" s="24">
        <v>17801491</v>
      </c>
      <c r="X9" s="24">
        <v>17765767</v>
      </c>
      <c r="Y9" s="24">
        <v>15806006</v>
      </c>
      <c r="Z9" s="24">
        <v>13642262</v>
      </c>
      <c r="AA9" s="24">
        <v>11057508</v>
      </c>
      <c r="AB9" s="24">
        <v>8945156</v>
      </c>
      <c r="AC9" s="24">
        <v>7670452</v>
      </c>
      <c r="AD9" s="24">
        <v>5934979</v>
      </c>
      <c r="AE9" s="24">
        <v>4720031</v>
      </c>
      <c r="AF9" s="24">
        <v>3838616</v>
      </c>
      <c r="AG9" s="24">
        <v>4220902</v>
      </c>
      <c r="AH9" s="24">
        <v>10791398</v>
      </c>
      <c r="AI9" s="24">
        <v>18679896</v>
      </c>
      <c r="AJ9" s="24">
        <v>23908803</v>
      </c>
      <c r="AK9" s="24">
        <v>17864415</v>
      </c>
      <c r="AL9" s="24">
        <v>13552934</v>
      </c>
      <c r="AM9" s="24">
        <v>9289142</v>
      </c>
      <c r="AN9" s="24">
        <v>6235095</v>
      </c>
      <c r="AO9" s="24">
        <v>4208438</v>
      </c>
      <c r="AP9" s="24">
        <v>2440896</v>
      </c>
    </row>
    <row r="10" spans="1:42" x14ac:dyDescent="0.2">
      <c r="A10" s="35" t="s">
        <v>37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>
        <v>92499560</v>
      </c>
      <c r="W10" s="24">
        <v>100616990</v>
      </c>
      <c r="X10" s="24">
        <v>118418945</v>
      </c>
      <c r="Y10" s="24">
        <v>136682393</v>
      </c>
      <c r="Z10" s="24">
        <v>139599246</v>
      </c>
      <c r="AA10" s="24">
        <v>152473057</v>
      </c>
      <c r="AB10" s="24">
        <v>148920142</v>
      </c>
      <c r="AC10" s="24">
        <v>141965453</v>
      </c>
      <c r="AD10" s="24">
        <v>124549782</v>
      </c>
      <c r="AE10" s="24">
        <v>110653616</v>
      </c>
      <c r="AF10" s="24">
        <v>98624026</v>
      </c>
      <c r="AG10" s="24">
        <v>75517874</v>
      </c>
      <c r="AH10" s="24">
        <v>58794810</v>
      </c>
      <c r="AI10" s="24">
        <v>46795554</v>
      </c>
      <c r="AJ10" s="24">
        <v>36523179</v>
      </c>
      <c r="AK10" s="24">
        <v>27397702</v>
      </c>
      <c r="AL10" s="24">
        <v>22296974</v>
      </c>
      <c r="AM10" s="24">
        <v>17005747</v>
      </c>
      <c r="AN10" s="24">
        <v>12683485</v>
      </c>
      <c r="AO10" s="24">
        <v>8686080</v>
      </c>
      <c r="AP10" s="24">
        <v>8180355</v>
      </c>
    </row>
    <row r="11" spans="1:42" x14ac:dyDescent="0.2">
      <c r="A11" s="35" t="s">
        <v>38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>
        <v>442342</v>
      </c>
      <c r="AH11" s="24">
        <v>3468127</v>
      </c>
      <c r="AI11" s="24">
        <v>7806608</v>
      </c>
      <c r="AJ11" s="24">
        <v>12145091</v>
      </c>
      <c r="AK11" s="24">
        <v>14787604</v>
      </c>
      <c r="AL11" s="24">
        <v>17654821</v>
      </c>
      <c r="AM11" s="24">
        <v>17901399</v>
      </c>
      <c r="AN11" s="24">
        <v>17263488</v>
      </c>
      <c r="AO11" s="24">
        <v>15003408</v>
      </c>
      <c r="AP11" s="24">
        <v>13399377</v>
      </c>
    </row>
    <row r="12" spans="1:42" x14ac:dyDescent="0.2">
      <c r="A12" s="35" t="s">
        <v>39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>
        <v>220611</v>
      </c>
      <c r="AI12" s="24">
        <v>1242560</v>
      </c>
      <c r="AJ12" s="24">
        <v>5093202</v>
      </c>
      <c r="AK12" s="24">
        <v>5908080</v>
      </c>
      <c r="AL12" s="24">
        <v>4886573</v>
      </c>
      <c r="AM12" s="24">
        <v>4017899</v>
      </c>
      <c r="AN12" s="24">
        <v>2774712</v>
      </c>
      <c r="AO12" s="24">
        <v>1735586</v>
      </c>
      <c r="AP12" s="24">
        <v>1545574</v>
      </c>
    </row>
    <row r="13" spans="1:42" x14ac:dyDescent="0.2">
      <c r="A13" s="35" t="s">
        <v>40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>
        <v>14662961</v>
      </c>
      <c r="W13" s="24">
        <v>17027348</v>
      </c>
      <c r="X13" s="24">
        <v>20606097</v>
      </c>
      <c r="Y13" s="24">
        <v>19315374</v>
      </c>
      <c r="Z13" s="24">
        <v>16534746</v>
      </c>
      <c r="AA13" s="24">
        <v>13605656</v>
      </c>
      <c r="AB13" s="24">
        <v>12093845</v>
      </c>
      <c r="AC13" s="24">
        <v>11436603</v>
      </c>
      <c r="AD13" s="24">
        <v>11212155</v>
      </c>
      <c r="AE13" s="24">
        <v>8168472</v>
      </c>
      <c r="AF13" s="24">
        <v>4401113</v>
      </c>
      <c r="AG13" s="24">
        <v>2265008</v>
      </c>
      <c r="AH13" s="24">
        <v>1164588</v>
      </c>
      <c r="AI13" s="24">
        <v>625449</v>
      </c>
      <c r="AJ13" s="24">
        <v>298203</v>
      </c>
      <c r="AK13" s="24">
        <v>156721</v>
      </c>
      <c r="AL13" s="24">
        <v>71230</v>
      </c>
      <c r="AM13" s="24">
        <v>23793</v>
      </c>
      <c r="AN13" s="24">
        <v>2879</v>
      </c>
      <c r="AO13" s="24"/>
      <c r="AP13" s="24"/>
    </row>
    <row r="14" spans="1:42" x14ac:dyDescent="0.2">
      <c r="A14" s="35" t="s">
        <v>41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>
        <v>3979978</v>
      </c>
      <c r="W14" s="24">
        <v>3803811</v>
      </c>
      <c r="X14" s="24">
        <v>3719755</v>
      </c>
      <c r="Y14" s="24">
        <v>3360540</v>
      </c>
      <c r="Z14" s="24">
        <v>2827887</v>
      </c>
      <c r="AA14" s="24">
        <v>2677741</v>
      </c>
      <c r="AB14" s="24">
        <v>2826936</v>
      </c>
      <c r="AC14" s="24">
        <v>2905973</v>
      </c>
      <c r="AD14" s="24">
        <v>2407951</v>
      </c>
      <c r="AE14" s="24">
        <v>2118890</v>
      </c>
      <c r="AF14" s="24">
        <v>1472329</v>
      </c>
      <c r="AG14" s="24">
        <v>923263</v>
      </c>
      <c r="AH14" s="24">
        <v>545134</v>
      </c>
      <c r="AI14" s="24">
        <v>218456</v>
      </c>
      <c r="AJ14" s="24">
        <v>38281</v>
      </c>
      <c r="AK14" s="24">
        <v>65018</v>
      </c>
      <c r="AL14" s="24">
        <v>79608</v>
      </c>
      <c r="AM14" s="24">
        <v>41193</v>
      </c>
      <c r="AN14" s="24">
        <v>37162</v>
      </c>
      <c r="AO14" s="24">
        <v>32926</v>
      </c>
      <c r="AP14" s="24">
        <v>28470</v>
      </c>
    </row>
    <row r="15" spans="1:42" x14ac:dyDescent="0.2">
      <c r="A15" s="35" t="s">
        <v>42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>
        <v>5013474</v>
      </c>
      <c r="Z15" s="24">
        <v>19520514</v>
      </c>
      <c r="AA15" s="24">
        <v>28099892</v>
      </c>
      <c r="AB15" s="24">
        <v>30461496</v>
      </c>
      <c r="AC15" s="24">
        <v>29440301</v>
      </c>
      <c r="AD15" s="24">
        <v>24574359</v>
      </c>
      <c r="AE15" s="24">
        <v>19256338</v>
      </c>
      <c r="AF15" s="24">
        <v>13687289</v>
      </c>
      <c r="AG15" s="24">
        <v>9477690</v>
      </c>
      <c r="AH15" s="24">
        <v>6148257</v>
      </c>
      <c r="AI15" s="24">
        <v>3691407</v>
      </c>
      <c r="AJ15" s="24">
        <v>2337625</v>
      </c>
      <c r="AK15" s="24">
        <v>1217497</v>
      </c>
      <c r="AL15" s="24">
        <v>710768</v>
      </c>
      <c r="AM15" s="24">
        <v>482562</v>
      </c>
      <c r="AN15" s="24">
        <v>355932</v>
      </c>
      <c r="AO15" s="24">
        <v>226298</v>
      </c>
      <c r="AP15" s="24">
        <v>144172</v>
      </c>
    </row>
    <row r="16" spans="1:42" s="26" customFormat="1" x14ac:dyDescent="0.2">
      <c r="A16" s="36" t="s">
        <v>73</v>
      </c>
      <c r="B16" s="25">
        <f t="shared" ref="B16" si="0">SUM(B4:B15)</f>
        <v>410026</v>
      </c>
      <c r="C16" s="25">
        <f t="shared" ref="C16" si="1">SUM(C4:C15)</f>
        <v>2400000</v>
      </c>
      <c r="D16" s="25">
        <f t="shared" ref="D16" si="2">SUM(D4:D15)</f>
        <v>540000</v>
      </c>
      <c r="E16" s="25">
        <f t="shared" ref="E16" si="3">SUM(E4:E15)</f>
        <v>527000</v>
      </c>
      <c r="F16" s="25">
        <f t="shared" ref="F16" si="4">SUM(F4:F15)</f>
        <v>416000</v>
      </c>
      <c r="G16" s="25">
        <f t="shared" ref="G16" si="5">SUM(G4:G15)</f>
        <v>1516000</v>
      </c>
      <c r="H16" s="25">
        <f t="shared" ref="H16" si="6">SUM(H4:H15)</f>
        <v>3969000</v>
      </c>
      <c r="I16" s="25">
        <f t="shared" ref="I16" si="7">SUM(I4:I15)</f>
        <v>18050000</v>
      </c>
      <c r="J16" s="25">
        <f t="shared" ref="J16" si="8">SUM(J4:J15)</f>
        <v>14229823</v>
      </c>
      <c r="K16" s="25">
        <f t="shared" ref="K16" si="9">SUM(K4:K15)</f>
        <v>13191004</v>
      </c>
      <c r="L16" s="25">
        <f t="shared" ref="L16" si="10">SUM(L4:L15)</f>
        <v>9777901</v>
      </c>
      <c r="M16" s="25">
        <f t="shared" ref="M16" si="11">SUM(M4:M15)</f>
        <v>13274633</v>
      </c>
      <c r="N16" s="25">
        <f t="shared" ref="N16" si="12">SUM(N4:N15)</f>
        <v>27306604</v>
      </c>
      <c r="O16" s="25">
        <f t="shared" ref="O16" si="13">SUM(O4:O15)</f>
        <v>53071872</v>
      </c>
      <c r="P16" s="25">
        <f t="shared" ref="P16" si="14">SUM(P4:P15)</f>
        <v>98609395</v>
      </c>
      <c r="Q16" s="25">
        <f t="shared" ref="Q16" si="15">SUM(Q4:Q15)</f>
        <v>141979414</v>
      </c>
      <c r="R16" s="25">
        <f t="shared" ref="R16" si="16">SUM(R4:R15)</f>
        <v>172471445</v>
      </c>
      <c r="S16" s="25">
        <f t="shared" ref="S16" si="17">SUM(S4:S15)</f>
        <v>198919443</v>
      </c>
      <c r="T16" s="25">
        <f t="shared" ref="T16" si="18">SUM(T4:T15)</f>
        <v>224995594</v>
      </c>
      <c r="U16" s="25">
        <f t="shared" ref="U16" si="19">SUM(U4:U15)</f>
        <v>274871952</v>
      </c>
      <c r="V16" s="25">
        <f>SUM(V4:V15)</f>
        <v>300941568</v>
      </c>
      <c r="W16" s="25">
        <f t="shared" ref="W16" si="20">SUM(W4:W15)</f>
        <v>319532962</v>
      </c>
      <c r="X16" s="25">
        <f t="shared" ref="X16" si="21">SUM(X4:X15)</f>
        <v>373607769</v>
      </c>
      <c r="Y16" s="25">
        <f t="shared" ref="Y16" si="22">SUM(Y4:Y15)</f>
        <v>439406450</v>
      </c>
      <c r="Z16" s="25">
        <f t="shared" ref="Z16" si="23">SUM(Z4:Z15)</f>
        <v>507237804</v>
      </c>
      <c r="AA16" s="25">
        <f t="shared" ref="AA16" si="24">SUM(AA4:AA15)</f>
        <v>571382596</v>
      </c>
      <c r="AB16" s="25">
        <f t="shared" ref="AB16" si="25">SUM(AB4:AB15)</f>
        <v>601001328</v>
      </c>
      <c r="AC16" s="25">
        <f t="shared" ref="AC16" si="26">SUM(AC4:AC15)</f>
        <v>605443270</v>
      </c>
      <c r="AD16" s="25">
        <f t="shared" ref="AD16" si="27">SUM(AD4:AD15)</f>
        <v>576126751</v>
      </c>
      <c r="AE16" s="25">
        <f t="shared" ref="AE16" si="28">SUM(AE4:AE15)</f>
        <v>538276228</v>
      </c>
      <c r="AF16" s="25">
        <f t="shared" ref="AF16" si="29">SUM(AF4:AF15)</f>
        <v>480817670</v>
      </c>
      <c r="AG16" s="25">
        <f t="shared" ref="AG16" si="30">SUM(AG4:AG15)</f>
        <v>402371628</v>
      </c>
      <c r="AH16" s="25">
        <f t="shared" ref="AH16" si="31">SUM(AH4:AH15)</f>
        <v>339296742</v>
      </c>
      <c r="AI16" s="25">
        <f t="shared" ref="AI16" si="32">SUM(AI4:AI15)</f>
        <v>297121261</v>
      </c>
      <c r="AJ16" s="25">
        <f t="shared" ref="AJ16" si="33">SUM(AJ4:AJ15)</f>
        <v>279959333</v>
      </c>
      <c r="AK16" s="25">
        <f t="shared" ref="AK16" si="34">SUM(AK4:AK15)</f>
        <v>230536873</v>
      </c>
      <c r="AL16" s="25">
        <f t="shared" ref="AL16" si="35">SUM(AL4:AL15)</f>
        <v>198394773</v>
      </c>
      <c r="AM16" s="25">
        <f t="shared" ref="AM16" si="36">SUM(AM4:AM15)</f>
        <v>170161742</v>
      </c>
      <c r="AN16" s="25">
        <f t="shared" ref="AN16" si="37">SUM(AN4:AN15)</f>
        <v>145702971</v>
      </c>
      <c r="AO16" s="25">
        <f t="shared" ref="AO16" si="38">SUM(AO4:AO15)</f>
        <v>123160091</v>
      </c>
      <c r="AP16" s="25">
        <f t="shared" ref="AP16" si="39">SUM(AP4:AP15)</f>
        <v>109797311</v>
      </c>
    </row>
    <row r="17" spans="1:42" x14ac:dyDescent="0.2">
      <c r="A17" s="35" t="s">
        <v>90</v>
      </c>
      <c r="B17" s="24"/>
      <c r="C17" s="24"/>
      <c r="D17" s="24"/>
      <c r="E17" s="24"/>
      <c r="F17" s="24"/>
      <c r="G17" s="24"/>
      <c r="H17" s="24"/>
      <c r="I17" s="24">
        <v>4188000</v>
      </c>
      <c r="J17" s="24">
        <v>9290556</v>
      </c>
      <c r="K17" s="24">
        <v>12213345</v>
      </c>
      <c r="L17" s="24">
        <v>10817710</v>
      </c>
      <c r="M17" s="24">
        <v>16943445</v>
      </c>
      <c r="N17" s="24">
        <v>17103416</v>
      </c>
      <c r="O17" s="24">
        <v>14197863</v>
      </c>
      <c r="P17" s="24">
        <v>11915702</v>
      </c>
      <c r="Q17" s="24">
        <v>9781002</v>
      </c>
      <c r="R17" s="24">
        <v>10598578</v>
      </c>
      <c r="S17" s="24">
        <v>8977840</v>
      </c>
      <c r="T17" s="24">
        <v>8892516</v>
      </c>
      <c r="U17" s="24">
        <v>7868764</v>
      </c>
      <c r="V17" s="24">
        <v>1467660</v>
      </c>
      <c r="W17" s="24">
        <v>460552</v>
      </c>
      <c r="X17" s="24">
        <v>178623</v>
      </c>
      <c r="Y17" s="24">
        <v>44922</v>
      </c>
      <c r="Z17" s="24">
        <v>5379</v>
      </c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x14ac:dyDescent="0.2">
      <c r="A18" s="35" t="s">
        <v>43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>
        <v>3013</v>
      </c>
      <c r="AC18" s="24">
        <v>247762</v>
      </c>
      <c r="AD18" s="24">
        <v>395862</v>
      </c>
      <c r="AE18" s="24">
        <v>371178</v>
      </c>
      <c r="AF18" s="24">
        <v>193152</v>
      </c>
      <c r="AG18" s="24">
        <v>97518</v>
      </c>
      <c r="AH18" s="24">
        <v>45390</v>
      </c>
      <c r="AI18" s="24">
        <v>21581</v>
      </c>
      <c r="AJ18" s="24">
        <v>8833</v>
      </c>
      <c r="AK18" s="24">
        <v>15289</v>
      </c>
      <c r="AL18" s="24">
        <v>18121</v>
      </c>
      <c r="AM18" s="24">
        <v>6819</v>
      </c>
      <c r="AN18" s="24"/>
      <c r="AO18" s="24"/>
      <c r="AP18" s="24"/>
    </row>
    <row r="19" spans="1:42" x14ac:dyDescent="0.2">
      <c r="A19" s="35" t="s">
        <v>44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>
        <v>131478</v>
      </c>
      <c r="AI19" s="24">
        <v>72620</v>
      </c>
      <c r="AJ19" s="24">
        <v>48323</v>
      </c>
      <c r="AK19" s="24">
        <v>49018</v>
      </c>
      <c r="AL19" s="24">
        <v>18803</v>
      </c>
      <c r="AM19" s="24">
        <v>2388</v>
      </c>
      <c r="AN19" s="24"/>
      <c r="AO19" s="24"/>
      <c r="AP19" s="24"/>
    </row>
    <row r="20" spans="1:42" x14ac:dyDescent="0.2">
      <c r="A20" s="35" t="s">
        <v>45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>
        <v>100135</v>
      </c>
      <c r="AC20" s="24">
        <v>1013159</v>
      </c>
      <c r="AD20" s="24">
        <v>1529680</v>
      </c>
      <c r="AE20" s="24">
        <v>1943256</v>
      </c>
      <c r="AF20" s="24">
        <v>1689921</v>
      </c>
      <c r="AG20" s="24">
        <v>3351539</v>
      </c>
      <c r="AH20" s="24">
        <v>3854787</v>
      </c>
      <c r="AI20" s="24">
        <v>3652769</v>
      </c>
      <c r="AJ20" s="24">
        <v>4190341</v>
      </c>
      <c r="AK20" s="24">
        <v>4051087</v>
      </c>
      <c r="AL20" s="24">
        <v>3390898</v>
      </c>
      <c r="AM20" s="24">
        <v>2560117</v>
      </c>
      <c r="AN20" s="24">
        <v>1863701</v>
      </c>
      <c r="AO20" s="24">
        <v>1576904</v>
      </c>
      <c r="AP20" s="24">
        <v>1288380</v>
      </c>
    </row>
    <row r="21" spans="1:42" x14ac:dyDescent="0.2">
      <c r="A21" s="35" t="s">
        <v>46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>
        <v>0</v>
      </c>
      <c r="AC21" s="24">
        <v>160799</v>
      </c>
      <c r="AD21" s="24">
        <v>294675</v>
      </c>
      <c r="AE21" s="24">
        <v>313822</v>
      </c>
      <c r="AF21" s="24">
        <v>189815</v>
      </c>
      <c r="AG21" s="24">
        <v>112107</v>
      </c>
      <c r="AH21" s="24">
        <v>515</v>
      </c>
      <c r="AI21" s="24"/>
      <c r="AJ21" s="24"/>
      <c r="AK21" s="24"/>
      <c r="AL21" s="24"/>
      <c r="AM21" s="24"/>
      <c r="AN21" s="24"/>
      <c r="AO21" s="24"/>
      <c r="AP21" s="24"/>
    </row>
    <row r="22" spans="1:42" ht="24" x14ac:dyDescent="0.2">
      <c r="A22" s="35" t="s">
        <v>47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>
        <v>6044647</v>
      </c>
      <c r="AF22" s="24">
        <v>15644182</v>
      </c>
      <c r="AG22" s="24">
        <v>14812473</v>
      </c>
      <c r="AH22" s="24">
        <v>10231114</v>
      </c>
      <c r="AI22" s="24">
        <v>6391639</v>
      </c>
      <c r="AJ22" s="24">
        <v>5328042</v>
      </c>
      <c r="AK22" s="24">
        <v>4046383</v>
      </c>
      <c r="AL22" s="24">
        <v>4058508</v>
      </c>
      <c r="AM22" s="24">
        <v>4678130</v>
      </c>
      <c r="AN22" s="24">
        <v>4948559</v>
      </c>
      <c r="AO22" s="24">
        <v>3964490</v>
      </c>
      <c r="AP22" s="24">
        <v>3544667</v>
      </c>
    </row>
    <row r="23" spans="1:42" x14ac:dyDescent="0.2">
      <c r="A23" s="35" t="s">
        <v>48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>
        <v>3493</v>
      </c>
      <c r="AC23" s="24">
        <v>85786</v>
      </c>
      <c r="AD23" s="24">
        <v>101429</v>
      </c>
      <c r="AE23" s="24">
        <v>74010</v>
      </c>
      <c r="AF23" s="24">
        <v>23950</v>
      </c>
      <c r="AG23" s="24">
        <v>4647</v>
      </c>
      <c r="AH23" s="24"/>
      <c r="AI23" s="24"/>
      <c r="AJ23" s="24"/>
      <c r="AK23" s="24"/>
      <c r="AL23" s="24"/>
      <c r="AM23" s="24"/>
      <c r="AN23" s="24"/>
      <c r="AO23" s="24"/>
      <c r="AP23" s="24"/>
    </row>
    <row r="24" spans="1:42" x14ac:dyDescent="0.2">
      <c r="A24" s="35" t="s">
        <v>49</v>
      </c>
      <c r="B24" s="24"/>
      <c r="C24" s="24"/>
      <c r="D24" s="24">
        <v>3273000</v>
      </c>
      <c r="E24" s="24">
        <v>2566000</v>
      </c>
      <c r="F24" s="24">
        <v>1941000</v>
      </c>
      <c r="G24" s="24">
        <v>3204000</v>
      </c>
      <c r="H24" s="24">
        <v>3922000</v>
      </c>
      <c r="I24" s="24">
        <v>17140000</v>
      </c>
      <c r="J24" s="24">
        <v>17212534</v>
      </c>
      <c r="K24" s="24">
        <v>18482379</v>
      </c>
      <c r="L24" s="24">
        <v>25749418</v>
      </c>
      <c r="M24" s="24">
        <v>30599788</v>
      </c>
      <c r="N24" s="24">
        <v>39968955</v>
      </c>
      <c r="O24" s="24">
        <v>25644700</v>
      </c>
      <c r="P24" s="24">
        <v>18630412</v>
      </c>
      <c r="Q24" s="24">
        <v>12431504</v>
      </c>
      <c r="R24" s="24">
        <v>11666965</v>
      </c>
      <c r="S24" s="24">
        <v>6522460</v>
      </c>
      <c r="T24" s="24">
        <v>4556600</v>
      </c>
      <c r="U24" s="24">
        <v>3002345</v>
      </c>
      <c r="V24" s="24">
        <v>3550688</v>
      </c>
      <c r="W24" s="24">
        <v>2087296</v>
      </c>
      <c r="X24" s="24">
        <v>2207620</v>
      </c>
      <c r="Y24" s="24">
        <v>2382762</v>
      </c>
      <c r="Z24" s="24">
        <v>2363216</v>
      </c>
      <c r="AA24" s="24">
        <v>2285930</v>
      </c>
      <c r="AB24" s="24">
        <v>1512129</v>
      </c>
      <c r="AC24" s="24">
        <v>1923693</v>
      </c>
      <c r="AD24" s="24">
        <v>2154432</v>
      </c>
      <c r="AE24" s="24">
        <v>2101452</v>
      </c>
      <c r="AF24" s="24">
        <v>3570825</v>
      </c>
      <c r="AG24" s="24">
        <v>8358702</v>
      </c>
      <c r="AH24" s="24">
        <v>11546687</v>
      </c>
      <c r="AI24" s="24">
        <v>14819134</v>
      </c>
      <c r="AJ24" s="24">
        <v>18002403</v>
      </c>
      <c r="AK24" s="24">
        <v>18438570</v>
      </c>
      <c r="AL24" s="24">
        <v>18692820</v>
      </c>
      <c r="AM24" s="24">
        <v>17883043</v>
      </c>
      <c r="AN24" s="24">
        <v>16236163</v>
      </c>
      <c r="AO24" s="24">
        <v>13380141</v>
      </c>
      <c r="AP24" s="24">
        <v>12005810</v>
      </c>
    </row>
    <row r="25" spans="1:42" x14ac:dyDescent="0.2">
      <c r="A25" s="35" t="s">
        <v>111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>
        <v>138874</v>
      </c>
      <c r="W25" s="24">
        <v>58018</v>
      </c>
      <c r="X25" s="24">
        <v>56510</v>
      </c>
      <c r="Y25" s="24">
        <v>20959</v>
      </c>
      <c r="Z25" s="24">
        <v>470</v>
      </c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</row>
    <row r="26" spans="1:42" ht="24" x14ac:dyDescent="0.2">
      <c r="A26" s="35" t="s">
        <v>91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>
        <v>6327994</v>
      </c>
      <c r="W26" s="24">
        <v>4548273</v>
      </c>
      <c r="X26" s="24">
        <v>3795774</v>
      </c>
      <c r="Y26" s="24">
        <v>2887126</v>
      </c>
      <c r="Z26" s="24">
        <v>2382075</v>
      </c>
      <c r="AA26" s="24">
        <v>1654144</v>
      </c>
      <c r="AB26" s="24">
        <v>1108054</v>
      </c>
      <c r="AC26" s="24">
        <v>1416585</v>
      </c>
      <c r="AD26" s="24">
        <v>1432663</v>
      </c>
      <c r="AE26" s="24">
        <v>1197552</v>
      </c>
      <c r="AF26" s="24">
        <v>762523</v>
      </c>
      <c r="AG26" s="24">
        <v>344833</v>
      </c>
      <c r="AH26" s="24"/>
      <c r="AI26" s="24"/>
      <c r="AJ26" s="24"/>
      <c r="AK26" s="24"/>
      <c r="AL26" s="24"/>
      <c r="AM26" s="24"/>
      <c r="AN26" s="24"/>
      <c r="AO26" s="24"/>
      <c r="AP26" s="24"/>
    </row>
    <row r="27" spans="1:42" x14ac:dyDescent="0.2">
      <c r="A27" s="35" t="s">
        <v>110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>
        <v>124750</v>
      </c>
      <c r="W27" s="24">
        <v>94949</v>
      </c>
      <c r="X27" s="24">
        <v>50838</v>
      </c>
      <c r="Y27" s="24">
        <v>56691</v>
      </c>
      <c r="Z27" s="24">
        <v>19288</v>
      </c>
      <c r="AA27" s="24">
        <v>4645</v>
      </c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</row>
    <row r="28" spans="1:42" x14ac:dyDescent="0.2">
      <c r="A28" s="35" t="s">
        <v>112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>
        <v>45446</v>
      </c>
      <c r="W28" s="24">
        <v>6233</v>
      </c>
      <c r="X28" s="24">
        <v>0</v>
      </c>
      <c r="Y28" s="24"/>
      <c r="Z28" s="24">
        <v>0</v>
      </c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</row>
    <row r="29" spans="1:42" x14ac:dyDescent="0.2">
      <c r="A29" s="35" t="s">
        <v>113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>
        <v>0</v>
      </c>
      <c r="W29" s="24">
        <v>0</v>
      </c>
      <c r="X29" s="24">
        <v>0</v>
      </c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</row>
    <row r="30" spans="1:42" s="26" customFormat="1" x14ac:dyDescent="0.2">
      <c r="A30" s="36" t="s">
        <v>73</v>
      </c>
      <c r="B30" s="25">
        <f t="shared" ref="B30" si="40">SUM(B17:B29)</f>
        <v>0</v>
      </c>
      <c r="C30" s="25">
        <f t="shared" ref="C30" si="41">SUM(C17:C29)</f>
        <v>0</v>
      </c>
      <c r="D30" s="25">
        <f t="shared" ref="D30" si="42">SUM(D17:D29)</f>
        <v>3273000</v>
      </c>
      <c r="E30" s="25">
        <f t="shared" ref="E30" si="43">SUM(E17:E29)</f>
        <v>2566000</v>
      </c>
      <c r="F30" s="25">
        <f t="shared" ref="F30" si="44">SUM(F17:F29)</f>
        <v>1941000</v>
      </c>
      <c r="G30" s="25">
        <f t="shared" ref="G30" si="45">SUM(G17:G29)</f>
        <v>3204000</v>
      </c>
      <c r="H30" s="25">
        <f t="shared" ref="H30" si="46">SUM(H17:H29)</f>
        <v>3922000</v>
      </c>
      <c r="I30" s="25">
        <f t="shared" ref="I30" si="47">SUM(I17:I29)</f>
        <v>21328000</v>
      </c>
      <c r="J30" s="25">
        <f t="shared" ref="J30" si="48">SUM(J17:J29)</f>
        <v>26503090</v>
      </c>
      <c r="K30" s="25">
        <f t="shared" ref="K30" si="49">SUM(K17:K29)</f>
        <v>30695724</v>
      </c>
      <c r="L30" s="25">
        <f t="shared" ref="L30" si="50">SUM(L17:L29)</f>
        <v>36567128</v>
      </c>
      <c r="M30" s="25">
        <f t="shared" ref="M30" si="51">SUM(M17:M29)</f>
        <v>47543233</v>
      </c>
      <c r="N30" s="25">
        <f t="shared" ref="N30" si="52">SUM(N17:N29)</f>
        <v>57072371</v>
      </c>
      <c r="O30" s="25">
        <f t="shared" ref="O30" si="53">SUM(O17:O29)</f>
        <v>39842563</v>
      </c>
      <c r="P30" s="25">
        <f t="shared" ref="P30" si="54">SUM(P17:P29)</f>
        <v>30546114</v>
      </c>
      <c r="Q30" s="25">
        <f t="shared" ref="Q30" si="55">SUM(Q17:Q29)</f>
        <v>22212506</v>
      </c>
      <c r="R30" s="25">
        <f t="shared" ref="R30" si="56">SUM(R17:R29)</f>
        <v>22265543</v>
      </c>
      <c r="S30" s="25">
        <f t="shared" ref="S30" si="57">SUM(S17:S29)</f>
        <v>15500300</v>
      </c>
      <c r="T30" s="25">
        <f t="shared" ref="T30" si="58">SUM(T17:T29)</f>
        <v>13449116</v>
      </c>
      <c r="U30" s="25">
        <f t="shared" ref="U30" si="59">SUM(U17:U29)</f>
        <v>10871109</v>
      </c>
      <c r="V30" s="25">
        <f t="shared" ref="V30" si="60">SUM(V17:V29)</f>
        <v>11655412</v>
      </c>
      <c r="W30" s="25">
        <f t="shared" ref="W30" si="61">SUM(W17:W29)</f>
        <v>7255321</v>
      </c>
      <c r="X30" s="25">
        <f t="shared" ref="X30" si="62">SUM(X17:X29)</f>
        <v>6289365</v>
      </c>
      <c r="Y30" s="25">
        <f t="shared" ref="Y30" si="63">SUM(Y17:Y29)</f>
        <v>5392460</v>
      </c>
      <c r="Z30" s="25">
        <f t="shared" ref="Z30" si="64">SUM(Z17:Z29)</f>
        <v>4770428</v>
      </c>
      <c r="AA30" s="25">
        <f t="shared" ref="AA30" si="65">SUM(AA17:AA29)</f>
        <v>3944719</v>
      </c>
      <c r="AB30" s="25">
        <f t="shared" ref="AB30" si="66">SUM(AB17:AB29)</f>
        <v>2726824</v>
      </c>
      <c r="AC30" s="25">
        <f t="shared" ref="AC30" si="67">SUM(AC17:AC29)</f>
        <v>4847784</v>
      </c>
      <c r="AD30" s="25">
        <f t="shared" ref="AD30" si="68">SUM(AD17:AD29)</f>
        <v>5908741</v>
      </c>
      <c r="AE30" s="25">
        <f t="shared" ref="AE30" si="69">SUM(AE17:AE29)</f>
        <v>12045917</v>
      </c>
      <c r="AF30" s="25">
        <f t="shared" ref="AF30" si="70">SUM(AF17:AF29)</f>
        <v>22074368</v>
      </c>
      <c r="AG30" s="25">
        <f t="shared" ref="AG30" si="71">SUM(AG17:AG29)</f>
        <v>27081819</v>
      </c>
      <c r="AH30" s="25">
        <f t="shared" ref="AH30" si="72">SUM(AH17:AH29)</f>
        <v>25809971</v>
      </c>
      <c r="AI30" s="25">
        <f t="shared" ref="AI30" si="73">SUM(AI17:AI29)</f>
        <v>24957743</v>
      </c>
      <c r="AJ30" s="25">
        <f t="shared" ref="AJ30" si="74">SUM(AJ17:AJ29)</f>
        <v>27577942</v>
      </c>
      <c r="AK30" s="25">
        <f t="shared" ref="AK30" si="75">SUM(AK17:AK29)</f>
        <v>26600347</v>
      </c>
      <c r="AL30" s="25">
        <f t="shared" ref="AL30" si="76">SUM(AL17:AL29)</f>
        <v>26179150</v>
      </c>
      <c r="AM30" s="25">
        <f t="shared" ref="AM30" si="77">SUM(AM17:AM29)</f>
        <v>25130497</v>
      </c>
      <c r="AN30" s="25">
        <f t="shared" ref="AN30" si="78">SUM(AN17:AN29)</f>
        <v>23048423</v>
      </c>
      <c r="AO30" s="25">
        <f t="shared" ref="AO30" si="79">SUM(AO17:AO29)</f>
        <v>18921535</v>
      </c>
      <c r="AP30" s="25">
        <f t="shared" ref="AP30" si="80">SUM(AP17:AP29)</f>
        <v>16838857</v>
      </c>
    </row>
    <row r="31" spans="1:42" x14ac:dyDescent="0.2">
      <c r="A31" s="35" t="s">
        <v>50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>
        <v>10921101</v>
      </c>
      <c r="X31" s="24">
        <v>10331394</v>
      </c>
      <c r="Y31" s="24">
        <v>9903760</v>
      </c>
      <c r="Z31" s="24">
        <v>16170525</v>
      </c>
      <c r="AA31" s="24">
        <v>34680456</v>
      </c>
      <c r="AB31" s="24">
        <v>49420964</v>
      </c>
      <c r="AC31" s="24">
        <v>78337525</v>
      </c>
      <c r="AD31" s="24">
        <v>86152870</v>
      </c>
      <c r="AE31" s="24">
        <v>78521826</v>
      </c>
      <c r="AF31" s="24">
        <v>67909795</v>
      </c>
      <c r="AG31" s="24">
        <v>61232069</v>
      </c>
      <c r="AH31" s="24">
        <v>46155299</v>
      </c>
      <c r="AI31" s="24">
        <v>51602902</v>
      </c>
      <c r="AJ31" s="24">
        <v>35860544</v>
      </c>
      <c r="AK31" s="24">
        <v>30324102</v>
      </c>
      <c r="AL31" s="24">
        <v>31942710</v>
      </c>
      <c r="AM31" s="24">
        <v>24447579</v>
      </c>
      <c r="AN31" s="24">
        <v>23423687</v>
      </c>
      <c r="AO31" s="24">
        <v>23626224</v>
      </c>
      <c r="AP31" s="24">
        <v>18074905</v>
      </c>
    </row>
    <row r="32" spans="1:42" x14ac:dyDescent="0.2">
      <c r="A32" s="35" t="s">
        <v>114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>
        <v>13632317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</row>
    <row r="33" spans="1:42" x14ac:dyDescent="0.2">
      <c r="A33" s="35" t="s">
        <v>51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>
        <v>62842554</v>
      </c>
      <c r="W33" s="24">
        <v>61087958</v>
      </c>
      <c r="X33" s="24">
        <v>59283171</v>
      </c>
      <c r="Y33" s="24">
        <v>58595695</v>
      </c>
      <c r="Z33" s="24">
        <v>53078744</v>
      </c>
      <c r="AA33" s="24">
        <v>35158236</v>
      </c>
      <c r="AB33" s="24">
        <v>41556600</v>
      </c>
      <c r="AC33" s="24">
        <v>28986671</v>
      </c>
      <c r="AD33" s="24">
        <v>26642319</v>
      </c>
      <c r="AE33" s="24">
        <v>6470396</v>
      </c>
      <c r="AF33" s="24">
        <v>2057967</v>
      </c>
      <c r="AG33" s="24">
        <v>8977859</v>
      </c>
      <c r="AH33" s="24">
        <v>873944</v>
      </c>
      <c r="AI33" s="24">
        <v>2311391</v>
      </c>
      <c r="AJ33" s="24">
        <v>618678</v>
      </c>
      <c r="AK33" s="24">
        <v>111806</v>
      </c>
      <c r="AL33" s="24">
        <v>159496</v>
      </c>
      <c r="AM33" s="24"/>
      <c r="AN33" s="24"/>
      <c r="AO33" s="24"/>
      <c r="AP33" s="24"/>
    </row>
    <row r="34" spans="1:42" x14ac:dyDescent="0.2">
      <c r="A34" s="35" t="s">
        <v>52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>
        <v>16076731</v>
      </c>
      <c r="W34" s="24">
        <v>21119812</v>
      </c>
      <c r="X34" s="24">
        <v>23291362</v>
      </c>
      <c r="Y34" s="24">
        <v>24183578</v>
      </c>
      <c r="Z34" s="24">
        <v>21028704</v>
      </c>
      <c r="AA34" s="24">
        <v>13826983</v>
      </c>
      <c r="AB34" s="24">
        <v>10644836</v>
      </c>
      <c r="AC34" s="24">
        <v>7390947</v>
      </c>
      <c r="AD34" s="24">
        <v>4837758</v>
      </c>
      <c r="AE34" s="24">
        <v>2949179</v>
      </c>
      <c r="AF34" s="24">
        <v>1772168</v>
      </c>
      <c r="AG34" s="24">
        <v>1182487</v>
      </c>
      <c r="AH34" s="24">
        <v>881935</v>
      </c>
      <c r="AI34" s="24">
        <v>718145</v>
      </c>
      <c r="AJ34" s="24">
        <v>529014</v>
      </c>
      <c r="AK34" s="24">
        <v>307160</v>
      </c>
      <c r="AL34" s="24"/>
      <c r="AM34" s="24">
        <v>79480</v>
      </c>
      <c r="AN34" s="24">
        <v>69591</v>
      </c>
      <c r="AO34" s="24">
        <v>70585</v>
      </c>
      <c r="AP34" s="24">
        <v>48640</v>
      </c>
    </row>
    <row r="35" spans="1:42" x14ac:dyDescent="0.2">
      <c r="A35" s="35" t="s">
        <v>71</v>
      </c>
      <c r="B35" s="24">
        <v>5883000</v>
      </c>
      <c r="C35" s="24">
        <v>3000000</v>
      </c>
      <c r="D35" s="24">
        <f>1204000+1621000</f>
        <v>2825000</v>
      </c>
      <c r="E35" s="24">
        <v>2073000</v>
      </c>
      <c r="F35" s="24">
        <v>6273000</v>
      </c>
      <c r="G35" s="24">
        <v>8969000</v>
      </c>
      <c r="H35" s="24">
        <v>20586000</v>
      </c>
      <c r="I35" s="24">
        <v>42034000</v>
      </c>
      <c r="J35" s="24">
        <v>27735308</v>
      </c>
      <c r="K35" s="24">
        <v>17892672</v>
      </c>
      <c r="L35" s="24">
        <v>14745615</v>
      </c>
      <c r="M35" s="24">
        <v>14556588</v>
      </c>
      <c r="N35" s="24">
        <v>21673178</v>
      </c>
      <c r="O35" s="24">
        <v>21424658</v>
      </c>
      <c r="P35" s="24">
        <v>29620273</v>
      </c>
      <c r="Q35" s="24">
        <v>46006138</v>
      </c>
      <c r="R35" s="24">
        <v>63233396</v>
      </c>
      <c r="S35" s="24">
        <v>84272039</v>
      </c>
      <c r="T35" s="24">
        <v>76923049</v>
      </c>
      <c r="U35" s="24">
        <v>92513663</v>
      </c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</row>
    <row r="36" spans="1:42" x14ac:dyDescent="0.2">
      <c r="A36" s="35" t="s">
        <v>82</v>
      </c>
      <c r="B36" s="24"/>
      <c r="C36" s="24"/>
      <c r="D36" s="24"/>
      <c r="E36" s="24"/>
      <c r="F36" s="24">
        <v>249000</v>
      </c>
      <c r="G36" s="24">
        <v>465000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</row>
    <row r="37" spans="1:42" s="26" customFormat="1" x14ac:dyDescent="0.2">
      <c r="A37" s="36" t="s">
        <v>73</v>
      </c>
      <c r="B37" s="25">
        <f t="shared" ref="B37" si="81">SUM(B31:B36)</f>
        <v>5883000</v>
      </c>
      <c r="C37" s="25">
        <f t="shared" ref="C37" si="82">SUM(C31:C36)</f>
        <v>3000000</v>
      </c>
      <c r="D37" s="25">
        <f t="shared" ref="D37" si="83">SUM(D31:D36)</f>
        <v>2825000</v>
      </c>
      <c r="E37" s="25">
        <f t="shared" ref="E37" si="84">SUM(E31:E36)</f>
        <v>2073000</v>
      </c>
      <c r="F37" s="25">
        <f t="shared" ref="F37" si="85">SUM(F31:F36)</f>
        <v>6522000</v>
      </c>
      <c r="G37" s="25">
        <f t="shared" ref="G37" si="86">SUM(G31:G36)</f>
        <v>9434000</v>
      </c>
      <c r="H37" s="25">
        <f t="shared" ref="H37" si="87">SUM(H31:H36)</f>
        <v>20586000</v>
      </c>
      <c r="I37" s="25">
        <f t="shared" ref="I37" si="88">SUM(I31:I36)</f>
        <v>42034000</v>
      </c>
      <c r="J37" s="25">
        <f t="shared" ref="J37" si="89">SUM(J31:J36)</f>
        <v>27735308</v>
      </c>
      <c r="K37" s="25">
        <f t="shared" ref="K37" si="90">SUM(K31:K36)</f>
        <v>17892672</v>
      </c>
      <c r="L37" s="25">
        <f t="shared" ref="L37" si="91">SUM(L31:L36)</f>
        <v>14745615</v>
      </c>
      <c r="M37" s="25">
        <f t="shared" ref="M37" si="92">SUM(M31:M36)</f>
        <v>14556588</v>
      </c>
      <c r="N37" s="25">
        <f t="shared" ref="N37" si="93">SUM(N31:N36)</f>
        <v>21673178</v>
      </c>
      <c r="O37" s="25">
        <f t="shared" ref="O37" si="94">SUM(O31:O36)</f>
        <v>21424658</v>
      </c>
      <c r="P37" s="25">
        <f t="shared" ref="P37" si="95">SUM(P31:P36)</f>
        <v>29620273</v>
      </c>
      <c r="Q37" s="25">
        <f t="shared" ref="Q37" si="96">SUM(Q31:Q36)</f>
        <v>46006138</v>
      </c>
      <c r="R37" s="25">
        <f t="shared" ref="R37" si="97">SUM(R31:R36)</f>
        <v>63233396</v>
      </c>
      <c r="S37" s="25">
        <f t="shared" ref="S37" si="98">SUM(S31:S36)</f>
        <v>84272039</v>
      </c>
      <c r="T37" s="25">
        <f t="shared" ref="T37" si="99">SUM(T31:T36)</f>
        <v>76923049</v>
      </c>
      <c r="U37" s="25">
        <f t="shared" ref="U37" si="100">SUM(U31:U36)</f>
        <v>92513663</v>
      </c>
      <c r="V37" s="25">
        <f t="shared" ref="V37" si="101">SUM(V31:V36)</f>
        <v>92551602</v>
      </c>
      <c r="W37" s="25">
        <f t="shared" ref="W37" si="102">SUM(W31:W36)</f>
        <v>93128871</v>
      </c>
      <c r="X37" s="25">
        <f t="shared" ref="X37" si="103">SUM(X31:X36)</f>
        <v>92905927</v>
      </c>
      <c r="Y37" s="25">
        <f t="shared" ref="Y37" si="104">SUM(Y31:Y36)</f>
        <v>92683033</v>
      </c>
      <c r="Z37" s="25">
        <f t="shared" ref="Z37" si="105">SUM(Z31:Z36)</f>
        <v>90277973</v>
      </c>
      <c r="AA37" s="25">
        <f t="shared" ref="AA37" si="106">SUM(AA31:AA36)</f>
        <v>83665675</v>
      </c>
      <c r="AB37" s="25">
        <f t="shared" ref="AB37" si="107">SUM(AB31:AB36)</f>
        <v>101622400</v>
      </c>
      <c r="AC37" s="25">
        <f t="shared" ref="AC37" si="108">SUM(AC31:AC36)</f>
        <v>114715143</v>
      </c>
      <c r="AD37" s="25">
        <f t="shared" ref="AD37" si="109">SUM(AD31:AD36)</f>
        <v>117632947</v>
      </c>
      <c r="AE37" s="25">
        <f t="shared" ref="AE37" si="110">SUM(AE31:AE36)</f>
        <v>87941401</v>
      </c>
      <c r="AF37" s="25">
        <f t="shared" ref="AF37" si="111">SUM(AF31:AF36)</f>
        <v>71739930</v>
      </c>
      <c r="AG37" s="25">
        <f t="shared" ref="AG37" si="112">SUM(AG31:AG36)</f>
        <v>71392415</v>
      </c>
      <c r="AH37" s="25">
        <f t="shared" ref="AH37" si="113">SUM(AH31:AH36)</f>
        <v>47911178</v>
      </c>
      <c r="AI37" s="25">
        <f t="shared" ref="AI37" si="114">SUM(AI31:AI36)</f>
        <v>54632438</v>
      </c>
      <c r="AJ37" s="25">
        <f t="shared" ref="AJ37" si="115">SUM(AJ31:AJ36)</f>
        <v>37008236</v>
      </c>
      <c r="AK37" s="25">
        <f t="shared" ref="AK37" si="116">SUM(AK31:AK36)</f>
        <v>30743068</v>
      </c>
      <c r="AL37" s="25">
        <f t="shared" ref="AL37" si="117">SUM(AL31:AL36)</f>
        <v>32102206</v>
      </c>
      <c r="AM37" s="25">
        <f t="shared" ref="AM37" si="118">SUM(AM31:AM36)</f>
        <v>24527059</v>
      </c>
      <c r="AN37" s="25">
        <f t="shared" ref="AN37" si="119">SUM(AN31:AN36)</f>
        <v>23493278</v>
      </c>
      <c r="AO37" s="25">
        <f t="shared" ref="AO37" si="120">SUM(AO31:AO36)</f>
        <v>23696809</v>
      </c>
      <c r="AP37" s="25">
        <f t="shared" ref="AP37" si="121">SUM(AP31:AP36)</f>
        <v>18123545</v>
      </c>
    </row>
    <row r="38" spans="1:42" ht="24" x14ac:dyDescent="0.2">
      <c r="A38" s="35" t="s">
        <v>87</v>
      </c>
      <c r="B38" s="24"/>
      <c r="C38" s="24"/>
      <c r="D38" s="24">
        <v>966000</v>
      </c>
      <c r="E38" s="24">
        <v>136000</v>
      </c>
      <c r="F38" s="24">
        <v>175000</v>
      </c>
      <c r="G38" s="24">
        <v>247000</v>
      </c>
      <c r="H38" s="24">
        <v>366000</v>
      </c>
      <c r="I38" s="24">
        <v>5898000</v>
      </c>
      <c r="J38" s="24">
        <v>9334273</v>
      </c>
      <c r="K38" s="24">
        <v>14524639</v>
      </c>
      <c r="L38" s="24">
        <v>25857666</v>
      </c>
      <c r="M38" s="24">
        <v>31913924</v>
      </c>
      <c r="N38" s="24">
        <v>33989988</v>
      </c>
      <c r="O38" s="24">
        <v>35045755</v>
      </c>
      <c r="P38" s="24">
        <v>32719957</v>
      </c>
      <c r="Q38" s="24">
        <v>26866741</v>
      </c>
      <c r="R38" s="24">
        <v>20621710</v>
      </c>
      <c r="S38" s="24">
        <v>18988968</v>
      </c>
      <c r="T38" s="24">
        <v>16253146</v>
      </c>
      <c r="U38" s="24">
        <v>17742035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</row>
    <row r="39" spans="1:42" x14ac:dyDescent="0.2">
      <c r="A39" s="35" t="s">
        <v>94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>
        <v>3389649</v>
      </c>
      <c r="W39" s="24">
        <v>1432847</v>
      </c>
      <c r="X39" s="24">
        <v>822825</v>
      </c>
      <c r="Y39" s="24">
        <v>543300</v>
      </c>
      <c r="Z39" s="24">
        <v>313421</v>
      </c>
      <c r="AA39" s="24">
        <v>190516</v>
      </c>
      <c r="AB39" s="24">
        <v>70958</v>
      </c>
      <c r="AC39" s="24">
        <v>645</v>
      </c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</row>
    <row r="40" spans="1:42" x14ac:dyDescent="0.2">
      <c r="A40" s="35" t="s">
        <v>53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>
        <v>4399825</v>
      </c>
      <c r="W40" s="24">
        <v>2898259</v>
      </c>
      <c r="X40" s="24">
        <v>1918689</v>
      </c>
      <c r="Y40" s="24">
        <v>1358670</v>
      </c>
      <c r="Z40" s="24">
        <v>763561</v>
      </c>
      <c r="AA40" s="24">
        <v>455350</v>
      </c>
      <c r="AB40" s="24">
        <v>214745</v>
      </c>
      <c r="AC40" s="24">
        <v>48404</v>
      </c>
      <c r="AD40" s="24">
        <v>5356</v>
      </c>
      <c r="AE40" s="24">
        <v>5875948</v>
      </c>
      <c r="AF40" s="24">
        <v>13566312</v>
      </c>
      <c r="AG40" s="24">
        <v>14618115</v>
      </c>
      <c r="AH40" s="24">
        <v>21980399</v>
      </c>
      <c r="AI40" s="24">
        <v>30090090</v>
      </c>
      <c r="AJ40" s="24">
        <v>35484371</v>
      </c>
      <c r="AK40" s="24">
        <v>38049330</v>
      </c>
      <c r="AL40" s="24">
        <v>38268542</v>
      </c>
      <c r="AM40" s="24">
        <v>35479371</v>
      </c>
      <c r="AN40" s="24">
        <v>32292395</v>
      </c>
      <c r="AO40" s="24">
        <v>26525833</v>
      </c>
      <c r="AP40" s="24">
        <v>22810557</v>
      </c>
    </row>
    <row r="41" spans="1:42" x14ac:dyDescent="0.2">
      <c r="A41" s="35" t="s">
        <v>54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>
        <v>993080</v>
      </c>
      <c r="W41" s="24">
        <v>1218310</v>
      </c>
      <c r="X41" s="24">
        <v>1597095</v>
      </c>
      <c r="Y41" s="24">
        <v>1884397</v>
      </c>
      <c r="Z41" s="24">
        <v>1618555</v>
      </c>
      <c r="AA41" s="24">
        <v>982380</v>
      </c>
      <c r="AB41" s="24">
        <v>1033813</v>
      </c>
      <c r="AC41" s="24">
        <v>1385006</v>
      </c>
      <c r="AD41" s="24">
        <v>1460066</v>
      </c>
      <c r="AE41" s="24">
        <v>924300</v>
      </c>
      <c r="AF41" s="24">
        <v>369719</v>
      </c>
      <c r="AG41" s="24">
        <v>126142</v>
      </c>
      <c r="AH41" s="24">
        <v>42020</v>
      </c>
      <c r="AI41" s="24">
        <v>5268</v>
      </c>
      <c r="AJ41" s="24"/>
      <c r="AK41" s="24"/>
      <c r="AL41" s="24"/>
      <c r="AM41" s="24"/>
      <c r="AN41" s="24"/>
      <c r="AO41" s="24"/>
      <c r="AP41" s="24"/>
    </row>
    <row r="42" spans="1:42" x14ac:dyDescent="0.2">
      <c r="A42" s="35" t="s">
        <v>55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>
        <v>63293</v>
      </c>
      <c r="W42" s="24">
        <v>109749</v>
      </c>
      <c r="X42" s="24">
        <v>230122</v>
      </c>
      <c r="Y42" s="24">
        <v>293438</v>
      </c>
      <c r="Z42" s="24">
        <v>251843</v>
      </c>
      <c r="AA42" s="24">
        <v>180772</v>
      </c>
      <c r="AB42" s="24">
        <v>449907</v>
      </c>
      <c r="AC42" s="24">
        <v>269746</v>
      </c>
      <c r="AD42" s="24">
        <v>176190</v>
      </c>
      <c r="AE42" s="24">
        <v>78909</v>
      </c>
      <c r="AF42" s="24">
        <v>24610</v>
      </c>
      <c r="AG42" s="24">
        <v>3850</v>
      </c>
      <c r="AH42" s="24"/>
      <c r="AI42" s="24"/>
      <c r="AJ42" s="24"/>
      <c r="AK42" s="24"/>
      <c r="AL42" s="24"/>
      <c r="AM42" s="24"/>
      <c r="AN42" s="24"/>
      <c r="AO42" s="24"/>
      <c r="AP42" s="24"/>
    </row>
    <row r="43" spans="1:42" x14ac:dyDescent="0.2">
      <c r="A43" s="35" t="s">
        <v>56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>
        <v>2754475</v>
      </c>
      <c r="W43" s="24">
        <v>4131064</v>
      </c>
      <c r="X43" s="24">
        <v>6223389</v>
      </c>
      <c r="Y43" s="24">
        <v>7006434</v>
      </c>
      <c r="Z43" s="24">
        <v>8399724</v>
      </c>
      <c r="AA43" s="24">
        <v>10717287</v>
      </c>
      <c r="AB43" s="24">
        <v>12192044</v>
      </c>
      <c r="AC43" s="24">
        <v>13484942</v>
      </c>
      <c r="AD43" s="24">
        <v>15051799</v>
      </c>
      <c r="AE43" s="24">
        <v>13563955</v>
      </c>
      <c r="AF43" s="24">
        <v>9459225</v>
      </c>
      <c r="AG43" s="24">
        <v>5615307</v>
      </c>
      <c r="AH43" s="24">
        <v>3022719</v>
      </c>
      <c r="AI43" s="24">
        <v>1766757</v>
      </c>
      <c r="AJ43" s="24">
        <v>1224214</v>
      </c>
      <c r="AK43" s="24">
        <v>860658</v>
      </c>
      <c r="AL43" s="24">
        <v>640206</v>
      </c>
      <c r="AM43" s="24">
        <v>500451</v>
      </c>
      <c r="AN43" s="24">
        <v>348954</v>
      </c>
      <c r="AO43" s="24">
        <v>235592</v>
      </c>
      <c r="AP43" s="24">
        <v>127452</v>
      </c>
    </row>
    <row r="44" spans="1:42" x14ac:dyDescent="0.2">
      <c r="A44" s="35" t="s">
        <v>57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>
        <v>6824086</v>
      </c>
      <c r="W44" s="24">
        <v>8743594</v>
      </c>
      <c r="X44" s="24">
        <v>10053711</v>
      </c>
      <c r="Y44" s="24">
        <v>9547811</v>
      </c>
      <c r="Z44" s="24">
        <v>8021164</v>
      </c>
      <c r="AA44" s="24">
        <v>6368140</v>
      </c>
      <c r="AB44" s="24">
        <v>5291618</v>
      </c>
      <c r="AC44" s="24">
        <v>4764087</v>
      </c>
      <c r="AD44" s="24">
        <v>4725101</v>
      </c>
      <c r="AE44" s="24">
        <v>3636173</v>
      </c>
      <c r="AF44" s="24">
        <v>2189327</v>
      </c>
      <c r="AG44" s="24">
        <v>1154317</v>
      </c>
      <c r="AH44" s="24">
        <v>759769</v>
      </c>
      <c r="AI44" s="24">
        <v>449192</v>
      </c>
      <c r="AJ44" s="24">
        <v>266928</v>
      </c>
      <c r="AK44" s="24">
        <v>214793</v>
      </c>
      <c r="AL44" s="24">
        <v>53648</v>
      </c>
      <c r="AM44" s="24">
        <v>11138</v>
      </c>
      <c r="AN44" s="24"/>
      <c r="AO44" s="24"/>
      <c r="AP44" s="24"/>
    </row>
    <row r="45" spans="1:42" x14ac:dyDescent="0.2">
      <c r="A45" s="35" t="s">
        <v>69</v>
      </c>
      <c r="B45" s="24">
        <v>21000</v>
      </c>
      <c r="C45" s="24">
        <v>3120000</v>
      </c>
      <c r="D45" s="24">
        <v>7560000</v>
      </c>
      <c r="E45" s="24">
        <v>3607000</v>
      </c>
      <c r="F45" s="24">
        <v>308000</v>
      </c>
      <c r="G45" s="24">
        <v>1646000</v>
      </c>
      <c r="H45" s="24">
        <v>376000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</row>
    <row r="46" spans="1:42" s="26" customFormat="1" x14ac:dyDescent="0.2">
      <c r="A46" s="36" t="s">
        <v>73</v>
      </c>
      <c r="B46" s="25">
        <f t="shared" ref="B46" si="122">SUM(B38:B45)</f>
        <v>21000</v>
      </c>
      <c r="C46" s="25">
        <f t="shared" ref="C46" si="123">SUM(C38:C45)</f>
        <v>3120000</v>
      </c>
      <c r="D46" s="25">
        <f t="shared" ref="D46" si="124">SUM(D38:D45)</f>
        <v>8526000</v>
      </c>
      <c r="E46" s="25">
        <f t="shared" ref="E46" si="125">SUM(E38:E45)</f>
        <v>3743000</v>
      </c>
      <c r="F46" s="25">
        <f t="shared" ref="F46" si="126">SUM(F38:F45)</f>
        <v>483000</v>
      </c>
      <c r="G46" s="25">
        <f t="shared" ref="G46" si="127">SUM(G38:G45)</f>
        <v>1893000</v>
      </c>
      <c r="H46" s="25">
        <f t="shared" ref="H46" si="128">SUM(H38:H45)</f>
        <v>742000</v>
      </c>
      <c r="I46" s="25">
        <f t="shared" ref="I46" si="129">SUM(I38:I45)</f>
        <v>5898000</v>
      </c>
      <c r="J46" s="25">
        <f t="shared" ref="J46" si="130">SUM(J38:J45)</f>
        <v>9334273</v>
      </c>
      <c r="K46" s="25">
        <f t="shared" ref="K46" si="131">SUM(K38:K45)</f>
        <v>14524639</v>
      </c>
      <c r="L46" s="25">
        <f t="shared" ref="L46" si="132">SUM(L38:L45)</f>
        <v>25857666</v>
      </c>
      <c r="M46" s="25">
        <f t="shared" ref="M46" si="133">SUM(M38:M45)</f>
        <v>31913924</v>
      </c>
      <c r="N46" s="25">
        <f t="shared" ref="N46" si="134">SUM(N38:N45)</f>
        <v>33989988</v>
      </c>
      <c r="O46" s="25">
        <f t="shared" ref="O46" si="135">SUM(O38:O45)</f>
        <v>35045755</v>
      </c>
      <c r="P46" s="25">
        <f t="shared" ref="P46" si="136">SUM(P38:P45)</f>
        <v>32719957</v>
      </c>
      <c r="Q46" s="25">
        <f t="shared" ref="Q46" si="137">SUM(Q38:Q45)</f>
        <v>26866741</v>
      </c>
      <c r="R46" s="25">
        <f t="shared" ref="R46" si="138">SUM(R38:R45)</f>
        <v>20621710</v>
      </c>
      <c r="S46" s="25">
        <f t="shared" ref="S46" si="139">SUM(S38:S45)</f>
        <v>18988968</v>
      </c>
      <c r="T46" s="25">
        <f t="shared" ref="T46" si="140">SUM(T38:T45)</f>
        <v>16253146</v>
      </c>
      <c r="U46" s="25">
        <f t="shared" ref="U46:AP46" si="141">SUM(U38:U45)</f>
        <v>17742035</v>
      </c>
      <c r="V46" s="25">
        <f t="shared" si="141"/>
        <v>18424408</v>
      </c>
      <c r="W46" s="25">
        <f t="shared" si="141"/>
        <v>18533823</v>
      </c>
      <c r="X46" s="25">
        <f t="shared" si="141"/>
        <v>20845831</v>
      </c>
      <c r="Y46" s="25">
        <f t="shared" si="141"/>
        <v>20634050</v>
      </c>
      <c r="Z46" s="25">
        <f t="shared" si="141"/>
        <v>19368268</v>
      </c>
      <c r="AA46" s="25">
        <f t="shared" si="141"/>
        <v>18894445</v>
      </c>
      <c r="AB46" s="25">
        <f t="shared" si="141"/>
        <v>19253085</v>
      </c>
      <c r="AC46" s="25">
        <f t="shared" si="141"/>
        <v>19952830</v>
      </c>
      <c r="AD46" s="25">
        <f t="shared" si="141"/>
        <v>21418512</v>
      </c>
      <c r="AE46" s="25">
        <f t="shared" si="141"/>
        <v>24079285</v>
      </c>
      <c r="AF46" s="25">
        <f t="shared" si="141"/>
        <v>25609193</v>
      </c>
      <c r="AG46" s="25">
        <f t="shared" si="141"/>
        <v>21517731</v>
      </c>
      <c r="AH46" s="25">
        <f t="shared" si="141"/>
        <v>25804907</v>
      </c>
      <c r="AI46" s="25">
        <f t="shared" si="141"/>
        <v>32311307</v>
      </c>
      <c r="AJ46" s="25">
        <f t="shared" si="141"/>
        <v>36975513</v>
      </c>
      <c r="AK46" s="25">
        <f t="shared" si="141"/>
        <v>39124781</v>
      </c>
      <c r="AL46" s="25">
        <f t="shared" si="141"/>
        <v>38962396</v>
      </c>
      <c r="AM46" s="25">
        <f t="shared" si="141"/>
        <v>35990960</v>
      </c>
      <c r="AN46" s="25">
        <f t="shared" si="141"/>
        <v>32641349</v>
      </c>
      <c r="AO46" s="25">
        <f t="shared" si="141"/>
        <v>26761425</v>
      </c>
      <c r="AP46" s="25">
        <f t="shared" si="141"/>
        <v>22938009</v>
      </c>
    </row>
    <row r="47" spans="1:42" x14ac:dyDescent="0.2">
      <c r="A47" s="35" t="s">
        <v>58</v>
      </c>
      <c r="B47" s="24"/>
      <c r="C47" s="24"/>
      <c r="D47" s="24"/>
      <c r="E47" s="24"/>
      <c r="F47" s="24"/>
      <c r="G47" s="24"/>
      <c r="H47" s="24"/>
      <c r="I47" s="24"/>
      <c r="J47" s="24"/>
      <c r="K47" s="24">
        <v>9127177</v>
      </c>
      <c r="L47" s="24">
        <v>21782814</v>
      </c>
      <c r="M47" s="24">
        <v>21913924</v>
      </c>
      <c r="N47" s="24">
        <v>24177154</v>
      </c>
      <c r="O47" s="24">
        <v>26565149</v>
      </c>
      <c r="P47" s="24">
        <v>25276384</v>
      </c>
      <c r="Q47" s="24">
        <v>22086393</v>
      </c>
      <c r="R47" s="24">
        <v>20212171</v>
      </c>
      <c r="S47" s="24">
        <v>15956227</v>
      </c>
      <c r="T47" s="24">
        <v>14052447</v>
      </c>
      <c r="U47" s="24">
        <v>13193756</v>
      </c>
      <c r="V47" s="24">
        <v>9163341</v>
      </c>
      <c r="W47" s="24">
        <v>6962973</v>
      </c>
      <c r="X47" s="24">
        <v>5828321</v>
      </c>
      <c r="Y47" s="24">
        <v>5389839</v>
      </c>
      <c r="Z47" s="24">
        <v>4493065</v>
      </c>
      <c r="AA47" s="24">
        <v>3461609</v>
      </c>
      <c r="AB47" s="24">
        <v>2704255</v>
      </c>
      <c r="AC47" s="24">
        <v>2520740</v>
      </c>
      <c r="AD47" s="24">
        <v>2464017</v>
      </c>
      <c r="AE47" s="24">
        <v>2307262</v>
      </c>
      <c r="AF47" s="24">
        <v>2184734</v>
      </c>
      <c r="AG47" s="24">
        <v>1621966</v>
      </c>
      <c r="AH47" s="24">
        <v>1646699</v>
      </c>
      <c r="AI47" s="24">
        <v>1368933</v>
      </c>
      <c r="AJ47" s="24">
        <v>1071311</v>
      </c>
      <c r="AK47" s="24">
        <v>842086</v>
      </c>
      <c r="AL47" s="24">
        <v>547958</v>
      </c>
      <c r="AM47" s="24">
        <v>460685</v>
      </c>
      <c r="AN47" s="24">
        <v>354662</v>
      </c>
      <c r="AO47" s="24">
        <v>297228</v>
      </c>
      <c r="AP47" s="24">
        <v>193960</v>
      </c>
    </row>
    <row r="48" spans="1:42" ht="24" x14ac:dyDescent="0.2">
      <c r="A48" s="35" t="s">
        <v>59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>
        <v>1543044</v>
      </c>
      <c r="W48" s="24">
        <v>892839</v>
      </c>
      <c r="X48" s="24">
        <v>519035</v>
      </c>
      <c r="Y48" s="24">
        <v>273054</v>
      </c>
      <c r="Z48" s="24">
        <v>303716</v>
      </c>
      <c r="AA48" s="24">
        <v>466888</v>
      </c>
      <c r="AB48" s="24">
        <v>367936</v>
      </c>
      <c r="AC48" s="24">
        <v>273710</v>
      </c>
      <c r="AD48" s="24">
        <v>224255</v>
      </c>
      <c r="AE48" s="24">
        <v>183562</v>
      </c>
      <c r="AF48" s="24">
        <v>89257</v>
      </c>
      <c r="AG48" s="24">
        <v>27493</v>
      </c>
      <c r="AH48" s="24">
        <v>5495</v>
      </c>
      <c r="AI48" s="24"/>
      <c r="AJ48" s="24"/>
      <c r="AK48" s="24"/>
      <c r="AL48" s="24"/>
      <c r="AM48" s="24"/>
      <c r="AN48" s="24"/>
      <c r="AO48" s="24"/>
      <c r="AP48" s="24"/>
    </row>
    <row r="49" spans="1:42" ht="24" x14ac:dyDescent="0.2">
      <c r="A49" s="35" t="s">
        <v>88</v>
      </c>
      <c r="B49" s="24"/>
      <c r="C49" s="24"/>
      <c r="D49" s="24"/>
      <c r="E49" s="24"/>
      <c r="F49" s="24"/>
      <c r="G49" s="24"/>
      <c r="H49" s="24"/>
      <c r="I49" s="24">
        <v>3472000</v>
      </c>
      <c r="J49" s="24">
        <v>3210340</v>
      </c>
      <c r="K49" s="24">
        <v>5782890</v>
      </c>
      <c r="L49" s="24">
        <v>8022180</v>
      </c>
      <c r="M49" s="24">
        <v>6910800</v>
      </c>
      <c r="N49" s="24">
        <v>6537120</v>
      </c>
      <c r="O49" s="24">
        <v>7127230</v>
      </c>
      <c r="P49" s="24">
        <v>6949440</v>
      </c>
      <c r="Q49" s="24">
        <v>5330450</v>
      </c>
      <c r="R49" s="24">
        <v>4071573</v>
      </c>
      <c r="S49" s="24">
        <v>2879910</v>
      </c>
      <c r="T49" s="24">
        <v>21150</v>
      </c>
      <c r="U49" s="24">
        <v>14020</v>
      </c>
      <c r="V49" s="24">
        <v>5080</v>
      </c>
      <c r="W49" s="24">
        <v>4340</v>
      </c>
      <c r="X49" s="24">
        <v>0</v>
      </c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</row>
    <row r="50" spans="1:42" x14ac:dyDescent="0.2">
      <c r="A50" s="35" t="s">
        <v>79</v>
      </c>
      <c r="B50" s="24"/>
      <c r="C50" s="24"/>
      <c r="D50" s="24"/>
      <c r="E50" s="24"/>
      <c r="F50" s="24"/>
      <c r="G50" s="24"/>
      <c r="H50" s="24"/>
      <c r="I50" s="24"/>
      <c r="J50" s="24"/>
      <c r="K50" s="24">
        <v>1311951</v>
      </c>
      <c r="L50" s="24">
        <v>1156687</v>
      </c>
      <c r="M50" s="24">
        <v>941926</v>
      </c>
      <c r="N50" s="24">
        <v>688801</v>
      </c>
      <c r="O50" s="24">
        <v>379670</v>
      </c>
      <c r="P50" s="24">
        <v>193488</v>
      </c>
      <c r="Q50" s="24">
        <v>123597</v>
      </c>
      <c r="R50" s="24">
        <v>100821</v>
      </c>
      <c r="S50" s="24">
        <v>116276</v>
      </c>
      <c r="T50" s="24">
        <v>36688</v>
      </c>
      <c r="U50" s="24">
        <v>26979</v>
      </c>
      <c r="V50" s="24">
        <v>16775</v>
      </c>
      <c r="W50" s="24">
        <v>6050</v>
      </c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</row>
    <row r="51" spans="1:42" s="26" customFormat="1" x14ac:dyDescent="0.2">
      <c r="A51" s="36" t="s">
        <v>73</v>
      </c>
      <c r="B51" s="25">
        <f t="shared" ref="B51" si="142">SUM(B47:B48)</f>
        <v>0</v>
      </c>
      <c r="C51" s="25">
        <f t="shared" ref="C51" si="143">SUM(C47:C48)</f>
        <v>0</v>
      </c>
      <c r="D51" s="25">
        <f t="shared" ref="D51" si="144">SUM(D47:D48)</f>
        <v>0</v>
      </c>
      <c r="E51" s="25">
        <f t="shared" ref="E51" si="145">SUM(E47:E48)</f>
        <v>0</v>
      </c>
      <c r="F51" s="25">
        <f t="shared" ref="F51" si="146">SUM(F47:F48)</f>
        <v>0</v>
      </c>
      <c r="G51" s="25">
        <f t="shared" ref="G51" si="147">SUM(G47:G48)</f>
        <v>0</v>
      </c>
      <c r="H51" s="25">
        <f t="shared" ref="H51" si="148">SUM(H47:H48)</f>
        <v>0</v>
      </c>
      <c r="I51" s="25">
        <f t="shared" ref="I51" si="149">SUM(I47:I49)</f>
        <v>3472000</v>
      </c>
      <c r="J51" s="25">
        <f t="shared" ref="J51" si="150">SUM(J47:J49)</f>
        <v>3210340</v>
      </c>
      <c r="K51" s="25">
        <f t="shared" ref="K51" si="151">SUM(K47:K50)</f>
        <v>16222018</v>
      </c>
      <c r="L51" s="25">
        <f t="shared" ref="L51" si="152">SUM(L47:L50)</f>
        <v>30961681</v>
      </c>
      <c r="M51" s="25">
        <f t="shared" ref="M51" si="153">SUM(M47:M50)</f>
        <v>29766650</v>
      </c>
      <c r="N51" s="25">
        <f t="shared" ref="N51" si="154">SUM(N47:N50)</f>
        <v>31403075</v>
      </c>
      <c r="O51" s="25">
        <f t="shared" ref="O51" si="155">SUM(O47:O50)</f>
        <v>34072049</v>
      </c>
      <c r="P51" s="25">
        <f t="shared" ref="P51" si="156">SUM(P47:P50)</f>
        <v>32419312</v>
      </c>
      <c r="Q51" s="25">
        <f t="shared" ref="Q51" si="157">SUM(Q47:Q50)</f>
        <v>27540440</v>
      </c>
      <c r="R51" s="25">
        <f t="shared" ref="R51" si="158">SUM(R47:R50)</f>
        <v>24384565</v>
      </c>
      <c r="S51" s="25">
        <f t="shared" ref="S51" si="159">SUM(S47:S50)</f>
        <v>18952413</v>
      </c>
      <c r="T51" s="25">
        <f t="shared" ref="T51" si="160">SUM(T47:T50)</f>
        <v>14110285</v>
      </c>
      <c r="U51" s="25">
        <f t="shared" ref="U51" si="161">SUM(U47:U50)</f>
        <v>13234755</v>
      </c>
      <c r="V51" s="25">
        <f t="shared" ref="V51" si="162">SUM(V47:V50)</f>
        <v>10728240</v>
      </c>
      <c r="W51" s="25">
        <f t="shared" ref="W51" si="163">SUM(W47:W50)</f>
        <v>7866202</v>
      </c>
      <c r="X51" s="25">
        <f t="shared" ref="X51" si="164">SUM(X47:X50)</f>
        <v>6347356</v>
      </c>
      <c r="Y51" s="25">
        <f t="shared" ref="Y51" si="165">SUM(Y47:Y50)</f>
        <v>5662893</v>
      </c>
      <c r="Z51" s="25">
        <f t="shared" ref="Z51" si="166">SUM(Z47:Z50)</f>
        <v>4796781</v>
      </c>
      <c r="AA51" s="25">
        <f t="shared" ref="AA51" si="167">SUM(AA47:AA50)</f>
        <v>3928497</v>
      </c>
      <c r="AB51" s="25">
        <f t="shared" ref="AB51" si="168">SUM(AB47:AB50)</f>
        <v>3072191</v>
      </c>
      <c r="AC51" s="25">
        <f t="shared" ref="AC51" si="169">SUM(AC47:AC50)</f>
        <v>2794450</v>
      </c>
      <c r="AD51" s="25">
        <f t="shared" ref="AD51" si="170">SUM(AD47:AD50)</f>
        <v>2688272</v>
      </c>
      <c r="AE51" s="25">
        <f t="shared" ref="AE51" si="171">SUM(AE47:AE50)</f>
        <v>2490824</v>
      </c>
      <c r="AF51" s="25">
        <f t="shared" ref="AF51" si="172">SUM(AF47:AF50)</f>
        <v>2273991</v>
      </c>
      <c r="AG51" s="25">
        <f t="shared" ref="AG51" si="173">SUM(AG47:AG50)</f>
        <v>1649459</v>
      </c>
      <c r="AH51" s="25">
        <f t="shared" ref="AH51" si="174">SUM(AH47:AH50)</f>
        <v>1652194</v>
      </c>
      <c r="AI51" s="25">
        <f t="shared" ref="AI51" si="175">SUM(AI47:AI50)</f>
        <v>1368933</v>
      </c>
      <c r="AJ51" s="25">
        <f t="shared" ref="AJ51" si="176">SUM(AJ47:AJ50)</f>
        <v>1071311</v>
      </c>
      <c r="AK51" s="25">
        <f t="shared" ref="AK51" si="177">SUM(AK47:AK50)</f>
        <v>842086</v>
      </c>
      <c r="AL51" s="25">
        <f t="shared" ref="AL51" si="178">SUM(AL47:AL50)</f>
        <v>547958</v>
      </c>
      <c r="AM51" s="25">
        <f t="shared" ref="AM51" si="179">SUM(AM47:AM50)</f>
        <v>460685</v>
      </c>
      <c r="AN51" s="25">
        <f t="shared" ref="AN51" si="180">SUM(AN47:AN50)</f>
        <v>354662</v>
      </c>
      <c r="AO51" s="25">
        <f t="shared" ref="AO51" si="181">SUM(AO47:AO50)</f>
        <v>297228</v>
      </c>
      <c r="AP51" s="25">
        <f t="shared" ref="AP51" si="182">SUM(AP47:AP50)</f>
        <v>193960</v>
      </c>
    </row>
    <row r="52" spans="1:42" x14ac:dyDescent="0.2">
      <c r="A52" s="35" t="s">
        <v>60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>
        <v>55683</v>
      </c>
      <c r="AG52" s="24">
        <v>1062847</v>
      </c>
      <c r="AH52" s="24">
        <v>1559982</v>
      </c>
      <c r="AI52" s="24">
        <v>1559982</v>
      </c>
      <c r="AJ52" s="24">
        <v>1652295</v>
      </c>
      <c r="AK52" s="24">
        <v>1980362</v>
      </c>
      <c r="AL52" s="24">
        <v>1593658</v>
      </c>
      <c r="AM52" s="24">
        <v>2129320</v>
      </c>
      <c r="AN52" s="24">
        <v>1598084</v>
      </c>
      <c r="AO52" s="24">
        <v>910888</v>
      </c>
      <c r="AP52" s="24">
        <v>704942</v>
      </c>
    </row>
    <row r="53" spans="1:42" s="26" customFormat="1" x14ac:dyDescent="0.2">
      <c r="A53" s="36" t="s">
        <v>73</v>
      </c>
      <c r="B53" s="25">
        <f t="shared" ref="B53" si="183">SUM(B52)</f>
        <v>0</v>
      </c>
      <c r="C53" s="25">
        <f t="shared" ref="C53" si="184">SUM(C52)</f>
        <v>0</v>
      </c>
      <c r="D53" s="25">
        <f t="shared" ref="D53" si="185">SUM(D52)</f>
        <v>0</v>
      </c>
      <c r="E53" s="25">
        <f t="shared" ref="E53" si="186">SUM(E52)</f>
        <v>0</v>
      </c>
      <c r="F53" s="25">
        <f t="shared" ref="F53" si="187">SUM(F52)</f>
        <v>0</v>
      </c>
      <c r="G53" s="25">
        <f t="shared" ref="G53" si="188">SUM(G52)</f>
        <v>0</v>
      </c>
      <c r="H53" s="25">
        <f t="shared" ref="H53" si="189">SUM(H52)</f>
        <v>0</v>
      </c>
      <c r="I53" s="25">
        <f t="shared" ref="I53" si="190">SUM(I52)</f>
        <v>0</v>
      </c>
      <c r="J53" s="25">
        <f t="shared" ref="J53" si="191">SUM(J52)</f>
        <v>0</v>
      </c>
      <c r="K53" s="25">
        <f t="shared" ref="K53" si="192">SUM(K52)</f>
        <v>0</v>
      </c>
      <c r="L53" s="25">
        <f t="shared" ref="L53" si="193">SUM(L52)</f>
        <v>0</v>
      </c>
      <c r="M53" s="25">
        <f t="shared" ref="M53" si="194">SUM(M52)</f>
        <v>0</v>
      </c>
      <c r="N53" s="25">
        <f t="shared" ref="N53" si="195">SUM(N52)</f>
        <v>0</v>
      </c>
      <c r="O53" s="25">
        <f t="shared" ref="O53" si="196">SUM(O52)</f>
        <v>0</v>
      </c>
      <c r="P53" s="25">
        <f t="shared" ref="P53" si="197">SUM(P52)</f>
        <v>0</v>
      </c>
      <c r="Q53" s="25">
        <f t="shared" ref="Q53" si="198">SUM(Q52)</f>
        <v>0</v>
      </c>
      <c r="R53" s="25">
        <f t="shared" ref="R53" si="199">SUM(R52)</f>
        <v>0</v>
      </c>
      <c r="S53" s="25">
        <f t="shared" ref="S53" si="200">SUM(S52)</f>
        <v>0</v>
      </c>
      <c r="T53" s="25">
        <f t="shared" ref="T53" si="201">SUM(T52)</f>
        <v>0</v>
      </c>
      <c r="U53" s="25">
        <f t="shared" ref="U53" si="202">SUM(U52)</f>
        <v>0</v>
      </c>
      <c r="V53" s="25">
        <f t="shared" ref="V53" si="203">SUM(V52)</f>
        <v>0</v>
      </c>
      <c r="W53" s="25">
        <f t="shared" ref="W53" si="204">SUM(W52)</f>
        <v>0</v>
      </c>
      <c r="X53" s="25">
        <f t="shared" ref="X53" si="205">SUM(X52)</f>
        <v>0</v>
      </c>
      <c r="Y53" s="25">
        <f t="shared" ref="Y53" si="206">SUM(Y52)</f>
        <v>0</v>
      </c>
      <c r="Z53" s="25">
        <f t="shared" ref="Z53" si="207">SUM(Z52)</f>
        <v>0</v>
      </c>
      <c r="AA53" s="25">
        <f t="shared" ref="AA53" si="208">SUM(AA52)</f>
        <v>0</v>
      </c>
      <c r="AB53" s="25">
        <f t="shared" ref="AB53" si="209">SUM(AB52)</f>
        <v>0</v>
      </c>
      <c r="AC53" s="25">
        <f t="shared" ref="AC53" si="210">SUM(AC52)</f>
        <v>0</v>
      </c>
      <c r="AD53" s="25">
        <f t="shared" ref="AD53" si="211">SUM(AD52)</f>
        <v>0</v>
      </c>
      <c r="AE53" s="25">
        <f t="shared" ref="AE53" si="212">SUM(AE52)</f>
        <v>0</v>
      </c>
      <c r="AF53" s="25">
        <f t="shared" ref="AF53" si="213">SUM(AF52)</f>
        <v>55683</v>
      </c>
      <c r="AG53" s="25">
        <f t="shared" ref="AG53" si="214">SUM(AG52)</f>
        <v>1062847</v>
      </c>
      <c r="AH53" s="25">
        <f t="shared" ref="AH53" si="215">SUM(AH52)</f>
        <v>1559982</v>
      </c>
      <c r="AI53" s="25">
        <f t="shared" ref="AI53" si="216">SUM(AI52)</f>
        <v>1559982</v>
      </c>
      <c r="AJ53" s="25">
        <f t="shared" ref="AJ53" si="217">SUM(AJ52)</f>
        <v>1652295</v>
      </c>
      <c r="AK53" s="25">
        <f t="shared" ref="AK53" si="218">SUM(AK52)</f>
        <v>1980362</v>
      </c>
      <c r="AL53" s="25">
        <f t="shared" ref="AL53" si="219">SUM(AL52)</f>
        <v>1593658</v>
      </c>
      <c r="AM53" s="25">
        <f t="shared" ref="AM53" si="220">SUM(AM52)</f>
        <v>2129320</v>
      </c>
      <c r="AN53" s="25">
        <f t="shared" ref="AN53" si="221">SUM(AN52)</f>
        <v>1598084</v>
      </c>
      <c r="AO53" s="25">
        <f t="shared" ref="AO53" si="222">SUM(AO52)</f>
        <v>910888</v>
      </c>
      <c r="AP53" s="25">
        <f t="shared" ref="AP53" si="223">SUM(AP52)</f>
        <v>704942</v>
      </c>
    </row>
    <row r="54" spans="1:42" x14ac:dyDescent="0.2">
      <c r="A54" s="35" t="s">
        <v>70</v>
      </c>
      <c r="B54" s="24">
        <v>659000</v>
      </c>
      <c r="C54" s="24"/>
      <c r="D54" s="24"/>
      <c r="E54" s="24">
        <v>126000</v>
      </c>
      <c r="F54" s="24">
        <v>294000</v>
      </c>
      <c r="G54" s="24">
        <v>971000</v>
      </c>
      <c r="H54" s="24">
        <v>70000</v>
      </c>
      <c r="I54" s="24">
        <v>15000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</row>
    <row r="55" spans="1:42" s="26" customFormat="1" x14ac:dyDescent="0.2">
      <c r="A55" s="36" t="s">
        <v>73</v>
      </c>
      <c r="B55" s="25">
        <f t="shared" ref="B55" si="224">SUM(B54)</f>
        <v>659000</v>
      </c>
      <c r="C55" s="25">
        <f t="shared" ref="C55" si="225">SUM(C54)</f>
        <v>0</v>
      </c>
      <c r="D55" s="25">
        <f t="shared" ref="D55" si="226">SUM(D54)</f>
        <v>0</v>
      </c>
      <c r="E55" s="25">
        <f t="shared" ref="E55" si="227">SUM(E54)</f>
        <v>126000</v>
      </c>
      <c r="F55" s="25">
        <f t="shared" ref="F55" si="228">SUM(F54)</f>
        <v>294000</v>
      </c>
      <c r="G55" s="25">
        <f t="shared" ref="G55" si="229">SUM(G54)</f>
        <v>971000</v>
      </c>
      <c r="H55" s="25">
        <f t="shared" ref="H55" si="230">SUM(H54)</f>
        <v>70000</v>
      </c>
      <c r="I55" s="25">
        <f t="shared" ref="I55" si="231">SUM(I54)</f>
        <v>15000</v>
      </c>
      <c r="J55" s="25">
        <f t="shared" ref="J55" si="232">SUM(J54)</f>
        <v>0</v>
      </c>
      <c r="K55" s="25">
        <f t="shared" ref="K55" si="233">SUM(K54)</f>
        <v>0</v>
      </c>
      <c r="L55" s="25">
        <f t="shared" ref="L55" si="234">SUM(L54)</f>
        <v>0</v>
      </c>
      <c r="M55" s="25">
        <f t="shared" ref="M55" si="235">SUM(M54)</f>
        <v>0</v>
      </c>
      <c r="N55" s="25">
        <f t="shared" ref="N55" si="236">SUM(N54)</f>
        <v>0</v>
      </c>
      <c r="O55" s="25">
        <f t="shared" ref="O55" si="237">SUM(O54)</f>
        <v>0</v>
      </c>
      <c r="P55" s="25">
        <f t="shared" ref="P55" si="238">SUM(P54)</f>
        <v>0</v>
      </c>
      <c r="Q55" s="25">
        <f t="shared" ref="Q55" si="239">SUM(Q54)</f>
        <v>0</v>
      </c>
      <c r="R55" s="25">
        <f t="shared" ref="R55" si="240">SUM(R54)</f>
        <v>0</v>
      </c>
      <c r="S55" s="25">
        <f t="shared" ref="S55" si="241">SUM(S54)</f>
        <v>0</v>
      </c>
      <c r="T55" s="25">
        <f t="shared" ref="T55" si="242">SUM(T54)</f>
        <v>0</v>
      </c>
      <c r="U55" s="25">
        <f t="shared" ref="U55" si="243">SUM(U54)</f>
        <v>0</v>
      </c>
      <c r="V55" s="25">
        <f t="shared" ref="V55" si="244">SUM(V54)</f>
        <v>0</v>
      </c>
      <c r="W55" s="25">
        <f t="shared" ref="W55" si="245">SUM(W54)</f>
        <v>0</v>
      </c>
      <c r="X55" s="25">
        <f t="shared" ref="X55" si="246">SUM(X54)</f>
        <v>0</v>
      </c>
      <c r="Y55" s="25">
        <f t="shared" ref="Y55" si="247">SUM(Y54)</f>
        <v>0</v>
      </c>
      <c r="Z55" s="25">
        <f t="shared" ref="Z55" si="248">SUM(Z54)</f>
        <v>0</v>
      </c>
      <c r="AA55" s="25">
        <f t="shared" ref="AA55" si="249">SUM(AA54)</f>
        <v>0</v>
      </c>
      <c r="AB55" s="25">
        <f t="shared" ref="AB55" si="250">SUM(AB54)</f>
        <v>0</v>
      </c>
      <c r="AC55" s="25">
        <f t="shared" ref="AC55" si="251">SUM(AC54)</f>
        <v>0</v>
      </c>
      <c r="AD55" s="25">
        <f t="shared" ref="AD55" si="252">SUM(AD54)</f>
        <v>0</v>
      </c>
      <c r="AE55" s="25">
        <f t="shared" ref="AE55" si="253">SUM(AE54)</f>
        <v>0</v>
      </c>
      <c r="AF55" s="25">
        <f t="shared" ref="AF55" si="254">SUM(AF54)</f>
        <v>0</v>
      </c>
      <c r="AG55" s="25">
        <f t="shared" ref="AG55" si="255">SUM(AG54)</f>
        <v>0</v>
      </c>
      <c r="AH55" s="25">
        <f t="shared" ref="AH55" si="256">SUM(AH54)</f>
        <v>0</v>
      </c>
      <c r="AI55" s="25">
        <f t="shared" ref="AI55" si="257">SUM(AI54)</f>
        <v>0</v>
      </c>
      <c r="AJ55" s="25">
        <f t="shared" ref="AJ55" si="258">SUM(AJ54)</f>
        <v>0</v>
      </c>
      <c r="AK55" s="25">
        <f t="shared" ref="AK55" si="259">SUM(AK54)</f>
        <v>0</v>
      </c>
      <c r="AL55" s="25">
        <f t="shared" ref="AL55" si="260">SUM(AL54)</f>
        <v>0</v>
      </c>
      <c r="AM55" s="25">
        <f t="shared" ref="AM55" si="261">SUM(AM54)</f>
        <v>0</v>
      </c>
      <c r="AN55" s="25">
        <f t="shared" ref="AN55" si="262">SUM(AN54)</f>
        <v>0</v>
      </c>
      <c r="AO55" s="25">
        <f t="shared" ref="AO55" si="263">SUM(AO54)</f>
        <v>0</v>
      </c>
      <c r="AP55" s="25">
        <f t="shared" ref="AP55" si="264">SUM(AP54)</f>
        <v>0</v>
      </c>
    </row>
    <row r="56" spans="1:42" x14ac:dyDescent="0.2">
      <c r="A56" s="35" t="s">
        <v>75</v>
      </c>
      <c r="B56" s="24"/>
      <c r="C56" s="24">
        <v>1920000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</row>
    <row r="57" spans="1:42" s="26" customFormat="1" x14ac:dyDescent="0.2">
      <c r="A57" s="36" t="s">
        <v>73</v>
      </c>
      <c r="B57" s="25">
        <f t="shared" ref="B57" si="265">SUM(B56)</f>
        <v>0</v>
      </c>
      <c r="C57" s="25">
        <f t="shared" ref="C57" si="266">SUM(C56)</f>
        <v>1920000</v>
      </c>
      <c r="D57" s="25">
        <f t="shared" ref="D57" si="267">SUM(D56)</f>
        <v>0</v>
      </c>
      <c r="E57" s="25">
        <f t="shared" ref="E57" si="268">SUM(E56)</f>
        <v>0</v>
      </c>
      <c r="F57" s="25">
        <f t="shared" ref="F57" si="269">SUM(F56)</f>
        <v>0</v>
      </c>
      <c r="G57" s="25">
        <f t="shared" ref="G57" si="270">SUM(G56)</f>
        <v>0</v>
      </c>
      <c r="H57" s="25">
        <f t="shared" ref="H57" si="271">SUM(H56)</f>
        <v>0</v>
      </c>
      <c r="I57" s="25">
        <f t="shared" ref="I57" si="272">SUM(I56)</f>
        <v>0</v>
      </c>
      <c r="J57" s="25">
        <f t="shared" ref="J57" si="273">SUM(J56)</f>
        <v>0</v>
      </c>
      <c r="K57" s="25">
        <f t="shared" ref="K57" si="274">SUM(K56)</f>
        <v>0</v>
      </c>
      <c r="L57" s="25">
        <f t="shared" ref="L57" si="275">SUM(L56)</f>
        <v>0</v>
      </c>
      <c r="M57" s="25">
        <f t="shared" ref="M57" si="276">SUM(M56)</f>
        <v>0</v>
      </c>
      <c r="N57" s="25">
        <f t="shared" ref="N57" si="277">SUM(N56)</f>
        <v>0</v>
      </c>
      <c r="O57" s="25">
        <f t="shared" ref="O57" si="278">SUM(O56)</f>
        <v>0</v>
      </c>
      <c r="P57" s="25">
        <f t="shared" ref="P57" si="279">SUM(P56)</f>
        <v>0</v>
      </c>
      <c r="Q57" s="25">
        <f t="shared" ref="Q57" si="280">SUM(Q56)</f>
        <v>0</v>
      </c>
      <c r="R57" s="25">
        <f t="shared" ref="R57" si="281">SUM(R56)</f>
        <v>0</v>
      </c>
      <c r="S57" s="25">
        <f t="shared" ref="S57" si="282">SUM(S56)</f>
        <v>0</v>
      </c>
      <c r="T57" s="25">
        <f t="shared" ref="T57" si="283">SUM(T56)</f>
        <v>0</v>
      </c>
      <c r="U57" s="25">
        <f t="shared" ref="U57" si="284">SUM(U56)</f>
        <v>0</v>
      </c>
      <c r="V57" s="25">
        <f t="shared" ref="V57" si="285">SUM(V56)</f>
        <v>0</v>
      </c>
      <c r="W57" s="25">
        <f t="shared" ref="W57" si="286">SUM(W56)</f>
        <v>0</v>
      </c>
      <c r="X57" s="25">
        <f t="shared" ref="X57" si="287">SUM(X56)</f>
        <v>0</v>
      </c>
      <c r="Y57" s="25">
        <f t="shared" ref="Y57" si="288">SUM(Y56)</f>
        <v>0</v>
      </c>
      <c r="Z57" s="25">
        <f t="shared" ref="Z57" si="289">SUM(Z56)</f>
        <v>0</v>
      </c>
      <c r="AA57" s="25">
        <f t="shared" ref="AA57" si="290">SUM(AA56)</f>
        <v>0</v>
      </c>
      <c r="AB57" s="25">
        <f t="shared" ref="AB57" si="291">SUM(AB56)</f>
        <v>0</v>
      </c>
      <c r="AC57" s="25">
        <f t="shared" ref="AC57" si="292">SUM(AC56)</f>
        <v>0</v>
      </c>
      <c r="AD57" s="25">
        <f t="shared" ref="AD57" si="293">SUM(AD56)</f>
        <v>0</v>
      </c>
      <c r="AE57" s="25">
        <f t="shared" ref="AE57" si="294">SUM(AE56)</f>
        <v>0</v>
      </c>
      <c r="AF57" s="25">
        <f t="shared" ref="AF57" si="295">SUM(AF56)</f>
        <v>0</v>
      </c>
      <c r="AG57" s="25">
        <f t="shared" ref="AG57" si="296">SUM(AG56)</f>
        <v>0</v>
      </c>
      <c r="AH57" s="25">
        <f t="shared" ref="AH57" si="297">SUM(AH56)</f>
        <v>0</v>
      </c>
      <c r="AI57" s="25">
        <f t="shared" ref="AI57" si="298">SUM(AI56)</f>
        <v>0</v>
      </c>
      <c r="AJ57" s="25">
        <f t="shared" ref="AJ57" si="299">SUM(AJ56)</f>
        <v>0</v>
      </c>
      <c r="AK57" s="25">
        <f t="shared" ref="AK57" si="300">SUM(AK56)</f>
        <v>0</v>
      </c>
      <c r="AL57" s="25">
        <f t="shared" ref="AL57" si="301">SUM(AL56)</f>
        <v>0</v>
      </c>
      <c r="AM57" s="25">
        <f t="shared" ref="AM57" si="302">SUM(AM56)</f>
        <v>0</v>
      </c>
      <c r="AN57" s="25">
        <f t="shared" ref="AN57" si="303">SUM(AN56)</f>
        <v>0</v>
      </c>
      <c r="AO57" s="25">
        <f t="shared" ref="AO57" si="304">SUM(AO56)</f>
        <v>0</v>
      </c>
      <c r="AP57" s="25">
        <f t="shared" ref="AP57" si="305">SUM(AP56)</f>
        <v>0</v>
      </c>
    </row>
    <row r="58" spans="1:42" x14ac:dyDescent="0.2">
      <c r="A58" s="35" t="s">
        <v>85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</row>
    <row r="59" spans="1:42" s="26" customFormat="1" x14ac:dyDescent="0.2">
      <c r="A59" s="36" t="s">
        <v>73</v>
      </c>
      <c r="B59" s="25">
        <f t="shared" ref="B59" si="306">SUM(B58)</f>
        <v>0</v>
      </c>
      <c r="C59" s="25">
        <f t="shared" ref="C59" si="307">SUM(C58)</f>
        <v>0</v>
      </c>
      <c r="D59" s="25">
        <f t="shared" ref="D59" si="308">SUM(D58)</f>
        <v>0</v>
      </c>
      <c r="E59" s="25">
        <f t="shared" ref="E59" si="309">SUM(E58)</f>
        <v>0</v>
      </c>
      <c r="F59" s="25">
        <f t="shared" ref="F59" si="310">SUM(F58)</f>
        <v>0</v>
      </c>
      <c r="G59" s="25">
        <f t="shared" ref="G59" si="311">SUM(G58)</f>
        <v>0</v>
      </c>
      <c r="H59" s="25">
        <f t="shared" ref="H59" si="312">SUM(H58)</f>
        <v>0</v>
      </c>
      <c r="I59" s="25">
        <f t="shared" ref="I59" si="313">SUM(I58)</f>
        <v>0</v>
      </c>
      <c r="J59" s="25">
        <f t="shared" ref="J59" si="314">SUM(J58)</f>
        <v>0</v>
      </c>
      <c r="K59" s="25">
        <f t="shared" ref="K59" si="315">SUM(K58)</f>
        <v>0</v>
      </c>
      <c r="L59" s="25">
        <f t="shared" ref="L59" si="316">SUM(L58)</f>
        <v>0</v>
      </c>
      <c r="M59" s="25">
        <f t="shared" ref="M59" si="317">SUM(M58)</f>
        <v>0</v>
      </c>
      <c r="N59" s="25">
        <f t="shared" ref="N59" si="318">SUM(N58)</f>
        <v>0</v>
      </c>
      <c r="O59" s="25">
        <f t="shared" ref="O59" si="319">SUM(O58)</f>
        <v>0</v>
      </c>
      <c r="P59" s="25">
        <f t="shared" ref="P59" si="320">SUM(P58)</f>
        <v>0</v>
      </c>
      <c r="Q59" s="25">
        <f t="shared" ref="Q59" si="321">SUM(Q58)</f>
        <v>0</v>
      </c>
      <c r="R59" s="25">
        <f t="shared" ref="R59" si="322">SUM(R58)</f>
        <v>0</v>
      </c>
      <c r="S59" s="25">
        <f t="shared" ref="S59" si="323">SUM(S58)</f>
        <v>0</v>
      </c>
      <c r="T59" s="25">
        <f t="shared" ref="T59" si="324">SUM(T58)</f>
        <v>0</v>
      </c>
      <c r="U59" s="25">
        <f t="shared" ref="U59" si="325">SUM(U58)</f>
        <v>0</v>
      </c>
      <c r="V59" s="25">
        <f t="shared" ref="V59" si="326">SUM(V58)</f>
        <v>0</v>
      </c>
      <c r="W59" s="25">
        <f t="shared" ref="W59" si="327">SUM(W58)</f>
        <v>0</v>
      </c>
      <c r="X59" s="25">
        <f t="shared" ref="X59" si="328">SUM(X58)</f>
        <v>0</v>
      </c>
      <c r="Y59" s="25">
        <f t="shared" ref="Y59" si="329">SUM(Y58)</f>
        <v>0</v>
      </c>
      <c r="Z59" s="25">
        <f t="shared" ref="Z59" si="330">SUM(Z58)</f>
        <v>0</v>
      </c>
      <c r="AA59" s="25">
        <f t="shared" ref="AA59" si="331">SUM(AA58)</f>
        <v>0</v>
      </c>
      <c r="AB59" s="25">
        <f t="shared" ref="AB59" si="332">SUM(AB58)</f>
        <v>0</v>
      </c>
      <c r="AC59" s="25">
        <f t="shared" ref="AC59" si="333">SUM(AC58)</f>
        <v>0</v>
      </c>
      <c r="AD59" s="25">
        <f t="shared" ref="AD59" si="334">SUM(AD58)</f>
        <v>0</v>
      </c>
      <c r="AE59" s="25">
        <f t="shared" ref="AE59" si="335">SUM(AE58)</f>
        <v>0</v>
      </c>
      <c r="AF59" s="25">
        <f t="shared" ref="AF59" si="336">SUM(AF58)</f>
        <v>0</v>
      </c>
      <c r="AG59" s="25">
        <f t="shared" ref="AG59" si="337">SUM(AG58)</f>
        <v>0</v>
      </c>
      <c r="AH59" s="25">
        <f t="shared" ref="AH59" si="338">SUM(AH58)</f>
        <v>0</v>
      </c>
      <c r="AI59" s="25">
        <f t="shared" ref="AI59" si="339">SUM(AI58)</f>
        <v>0</v>
      </c>
      <c r="AJ59" s="25">
        <f t="shared" ref="AJ59" si="340">SUM(AJ58)</f>
        <v>0</v>
      </c>
      <c r="AK59" s="25">
        <f t="shared" ref="AK59" si="341">SUM(AK58)</f>
        <v>0</v>
      </c>
      <c r="AL59" s="25">
        <f t="shared" ref="AL59" si="342">SUM(AL58)</f>
        <v>0</v>
      </c>
      <c r="AM59" s="25">
        <f t="shared" ref="AM59" si="343">SUM(AM58)</f>
        <v>0</v>
      </c>
      <c r="AN59" s="25">
        <f t="shared" ref="AN59" si="344">SUM(AN58)</f>
        <v>0</v>
      </c>
      <c r="AO59" s="25">
        <f t="shared" ref="AO59" si="345">SUM(AO58)</f>
        <v>0</v>
      </c>
      <c r="AP59" s="25">
        <f t="shared" ref="AP59" si="346">SUM(AP58)</f>
        <v>0</v>
      </c>
    </row>
    <row r="60" spans="1:42" x14ac:dyDescent="0.2">
      <c r="A60" s="35" t="s">
        <v>89</v>
      </c>
      <c r="B60" s="24"/>
      <c r="C60" s="24"/>
      <c r="D60" s="24"/>
      <c r="E60" s="24"/>
      <c r="F60" s="24"/>
      <c r="G60" s="24"/>
      <c r="H60" s="24"/>
      <c r="I60" s="24">
        <v>1640000</v>
      </c>
      <c r="J60" s="24">
        <v>1927819</v>
      </c>
      <c r="K60" s="24">
        <v>2683860</v>
      </c>
      <c r="L60" s="24">
        <v>3666357</v>
      </c>
      <c r="M60" s="24">
        <v>3781476</v>
      </c>
      <c r="N60" s="24">
        <v>5002525</v>
      </c>
      <c r="O60" s="24">
        <v>5644132</v>
      </c>
      <c r="P60" s="24">
        <v>4562482</v>
      </c>
      <c r="Q60" s="24">
        <v>3772705</v>
      </c>
      <c r="R60" s="24">
        <v>3497236</v>
      </c>
      <c r="S60" s="24">
        <v>5379256</v>
      </c>
      <c r="T60" s="24">
        <v>4496364</v>
      </c>
      <c r="U60" s="24">
        <v>1850428</v>
      </c>
      <c r="V60" s="24">
        <v>304539</v>
      </c>
      <c r="W60" s="24">
        <v>265361</v>
      </c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</row>
    <row r="61" spans="1:42" s="26" customFormat="1" x14ac:dyDescent="0.2">
      <c r="A61" s="36" t="s">
        <v>73</v>
      </c>
      <c r="B61" s="25">
        <f t="shared" ref="B61" si="347">SUM(B60)</f>
        <v>0</v>
      </c>
      <c r="C61" s="25">
        <f t="shared" ref="C61" si="348">SUM(C60)</f>
        <v>0</v>
      </c>
      <c r="D61" s="25">
        <f t="shared" ref="D61" si="349">SUM(D60)</f>
        <v>0</v>
      </c>
      <c r="E61" s="25">
        <f t="shared" ref="E61" si="350">SUM(E60)</f>
        <v>0</v>
      </c>
      <c r="F61" s="25">
        <f t="shared" ref="F61" si="351">SUM(F60)</f>
        <v>0</v>
      </c>
      <c r="G61" s="25">
        <f t="shared" ref="G61" si="352">SUM(G60)</f>
        <v>0</v>
      </c>
      <c r="H61" s="25">
        <f t="shared" ref="H61" si="353">SUM(H60)</f>
        <v>0</v>
      </c>
      <c r="I61" s="25">
        <f t="shared" ref="I61" si="354">SUM(I60)</f>
        <v>1640000</v>
      </c>
      <c r="J61" s="25">
        <f t="shared" ref="J61" si="355">SUM(J60)</f>
        <v>1927819</v>
      </c>
      <c r="K61" s="25">
        <f t="shared" ref="K61" si="356">SUM(K60)</f>
        <v>2683860</v>
      </c>
      <c r="L61" s="25">
        <f t="shared" ref="L61" si="357">SUM(L60)</f>
        <v>3666357</v>
      </c>
      <c r="M61" s="25">
        <f t="shared" ref="M61" si="358">SUM(M60)</f>
        <v>3781476</v>
      </c>
      <c r="N61" s="25">
        <f t="shared" ref="N61" si="359">SUM(N60)</f>
        <v>5002525</v>
      </c>
      <c r="O61" s="25">
        <f t="shared" ref="O61" si="360">SUM(O60)</f>
        <v>5644132</v>
      </c>
      <c r="P61" s="25">
        <f t="shared" ref="P61" si="361">SUM(P60)</f>
        <v>4562482</v>
      </c>
      <c r="Q61" s="25">
        <f t="shared" ref="Q61" si="362">SUM(Q60)</f>
        <v>3772705</v>
      </c>
      <c r="R61" s="25">
        <f t="shared" ref="R61" si="363">SUM(R60)</f>
        <v>3497236</v>
      </c>
      <c r="S61" s="25">
        <f t="shared" ref="S61" si="364">SUM(S60)</f>
        <v>5379256</v>
      </c>
      <c r="T61" s="25">
        <f t="shared" ref="T61" si="365">SUM(T60)</f>
        <v>4496364</v>
      </c>
      <c r="U61" s="25">
        <f t="shared" ref="U61" si="366">SUM(U60)</f>
        <v>1850428</v>
      </c>
      <c r="V61" s="25">
        <f t="shared" ref="V61" si="367">SUM(V60)</f>
        <v>304539</v>
      </c>
      <c r="W61" s="25">
        <f t="shared" ref="W61" si="368">SUM(W60)</f>
        <v>265361</v>
      </c>
      <c r="X61" s="25">
        <f t="shared" ref="X61" si="369">SUM(X60)</f>
        <v>0</v>
      </c>
      <c r="Y61" s="25">
        <f t="shared" ref="Y61" si="370">SUM(Y60)</f>
        <v>0</v>
      </c>
      <c r="Z61" s="25">
        <f t="shared" ref="Z61" si="371">SUM(Z60)</f>
        <v>0</v>
      </c>
      <c r="AA61" s="25">
        <f t="shared" ref="AA61" si="372">SUM(AA60)</f>
        <v>0</v>
      </c>
      <c r="AB61" s="25">
        <f t="shared" ref="AB61" si="373">SUM(AB60)</f>
        <v>0</v>
      </c>
      <c r="AC61" s="25">
        <f t="shared" ref="AC61" si="374">SUM(AC60)</f>
        <v>0</v>
      </c>
      <c r="AD61" s="25">
        <f t="shared" ref="AD61" si="375">SUM(AD60)</f>
        <v>0</v>
      </c>
      <c r="AE61" s="25">
        <f t="shared" ref="AE61" si="376">SUM(AE60)</f>
        <v>0</v>
      </c>
      <c r="AF61" s="25">
        <f t="shared" ref="AF61" si="377">SUM(AF60)</f>
        <v>0</v>
      </c>
      <c r="AG61" s="25">
        <f t="shared" ref="AG61" si="378">SUM(AG60)</f>
        <v>0</v>
      </c>
      <c r="AH61" s="25">
        <f t="shared" ref="AH61" si="379">SUM(AH60)</f>
        <v>0</v>
      </c>
      <c r="AI61" s="25">
        <f t="shared" ref="AI61" si="380">SUM(AI60)</f>
        <v>0</v>
      </c>
      <c r="AJ61" s="25">
        <f t="shared" ref="AJ61" si="381">SUM(AJ60)</f>
        <v>0</v>
      </c>
      <c r="AK61" s="25">
        <f t="shared" ref="AK61" si="382">SUM(AK60)</f>
        <v>0</v>
      </c>
      <c r="AL61" s="25">
        <f t="shared" ref="AL61" si="383">SUM(AL60)</f>
        <v>0</v>
      </c>
      <c r="AM61" s="25">
        <f t="shared" ref="AM61" si="384">SUM(AM60)</f>
        <v>0</v>
      </c>
      <c r="AN61" s="25">
        <f t="shared" ref="AN61" si="385">SUM(AN60)</f>
        <v>0</v>
      </c>
      <c r="AO61" s="25">
        <f t="shared" ref="AO61" si="386">SUM(AO60)</f>
        <v>0</v>
      </c>
      <c r="AP61" s="25">
        <f t="shared" ref="AP61" si="387">SUM(AP60)</f>
        <v>0</v>
      </c>
    </row>
    <row r="62" spans="1:42" s="29" customFormat="1" ht="12.5" thickBot="1" x14ac:dyDescent="0.25">
      <c r="A62" s="37" t="s">
        <v>61</v>
      </c>
      <c r="B62" s="40">
        <f t="shared" ref="B62" si="388">SUM(B55,B53,B51,B46,B37,B30,B16,B57,B59,B61)</f>
        <v>6973026</v>
      </c>
      <c r="C62" s="40">
        <f t="shared" ref="C62" si="389">SUM(C55,C53,C51,C46,C37,C30,C16,C57,C59,C61)</f>
        <v>10440000</v>
      </c>
      <c r="D62" s="40">
        <f t="shared" ref="D62" si="390">SUM(D55,D53,D51,D46,D37,D30,D16,D57,D59,D61)</f>
        <v>15164000</v>
      </c>
      <c r="E62" s="40">
        <f t="shared" ref="E62" si="391">SUM(E55,E53,E51,E46,E37,E30,E16,E57,E59,E61)</f>
        <v>9035000</v>
      </c>
      <c r="F62" s="40">
        <f t="shared" ref="F62" si="392">SUM(F55,F53,F51,F46,F37,F30,F16,F57,F59,F61)</f>
        <v>9656000</v>
      </c>
      <c r="G62" s="40">
        <f t="shared" ref="G62" si="393">SUM(G55,G53,G51,G46,G37,G30,G16,G57,G59,G61)</f>
        <v>17018000</v>
      </c>
      <c r="H62" s="40">
        <f t="shared" ref="H62" si="394">SUM(H55,H53,H51,H46,H37,H30,H16,H57,H59,H61)</f>
        <v>29289000</v>
      </c>
      <c r="I62" s="40">
        <f t="shared" ref="I62" si="395">SUM(I55,I53,I51,I46,I37,I30,I16,I57,I59,I61)</f>
        <v>92437000</v>
      </c>
      <c r="J62" s="40">
        <f t="shared" ref="J62" si="396">SUM(J55,J53,J51,J46,J37,J30,J16,J57,J59,J61)</f>
        <v>82940653</v>
      </c>
      <c r="K62" s="40">
        <f t="shared" ref="K62" si="397">SUM(K55,K53,K51,K46,K37,K30,K16,K57,K59,K61)</f>
        <v>95209917</v>
      </c>
      <c r="L62" s="40">
        <f t="shared" ref="L62" si="398">SUM(L55,L53,L51,L46,L37,L30,L16,L57,L59,L61)</f>
        <v>121576348</v>
      </c>
      <c r="M62" s="40">
        <f t="shared" ref="M62" si="399">SUM(M55,M53,M51,M46,M37,M30,M16,M57,M59,M61)</f>
        <v>140836504</v>
      </c>
      <c r="N62" s="40">
        <f t="shared" ref="N62" si="400">SUM(N55,N53,N51,N46,N37,N30,N16,N57,N59,N61)</f>
        <v>176447741</v>
      </c>
      <c r="O62" s="40">
        <f t="shared" ref="O62" si="401">SUM(O55,O53,O51,O46,O37,O30,O16,O57,O59,O61)</f>
        <v>189101029</v>
      </c>
      <c r="P62" s="40">
        <f t="shared" ref="P62" si="402">SUM(P55,P53,P51,P46,P37,P30,P16,P57,P59,P61)</f>
        <v>228477533</v>
      </c>
      <c r="Q62" s="40">
        <f t="shared" ref="Q62" si="403">SUM(Q55,Q53,Q51,Q46,Q37,Q30,Q16,Q57,Q59,Q61)</f>
        <v>268377944</v>
      </c>
      <c r="R62" s="40">
        <f t="shared" ref="R62" si="404">SUM(R55,R53,R51,R46,R37,R30,R16,R57,R59,R61)</f>
        <v>306473895</v>
      </c>
      <c r="S62" s="40">
        <f t="shared" ref="S62" si="405">SUM(S55,S53,S51,S46,S37,S30,S16,S57,S59,S61)</f>
        <v>342012419</v>
      </c>
      <c r="T62" s="40">
        <f t="shared" ref="T62" si="406">SUM(T55,T53,T51,T46,T37,T30,T16,T57,T59,T61)</f>
        <v>350227554</v>
      </c>
      <c r="U62" s="40">
        <f t="shared" ref="U62" si="407">SUM(U55,U53,U51,U46,U37,U30,U16,U57,U59,U61)</f>
        <v>411083942</v>
      </c>
      <c r="V62" s="40">
        <f t="shared" ref="V62" si="408">SUM(V55,V53,V51,V46,V37,V30,V16,V57,V59,V61)</f>
        <v>434605769</v>
      </c>
      <c r="W62" s="40">
        <f t="shared" ref="W62" si="409">SUM(W55,W53,W51,W46,W37,W30,W16,W57,W59,W61)</f>
        <v>446582540</v>
      </c>
      <c r="X62" s="40">
        <f t="shared" ref="X62" si="410">SUM(X55,X53,X51,X46,X37,X30,X16,X57,X59,X61)</f>
        <v>499996248</v>
      </c>
      <c r="Y62" s="40">
        <f t="shared" ref="Y62" si="411">SUM(Y55,Y53,Y51,Y46,Y37,Y30,Y16,Y57,Y59,Y61)</f>
        <v>563778886</v>
      </c>
      <c r="Z62" s="40">
        <f t="shared" ref="Z62" si="412">SUM(Z55,Z53,Z51,Z46,Z37,Z30,Z16,Z57,Z59,Z61)</f>
        <v>626451254</v>
      </c>
      <c r="AA62" s="40">
        <f t="shared" ref="AA62" si="413">SUM(AA55,AA53,AA51,AA46,AA37,AA30,AA16,AA57,AA59,AA61)</f>
        <v>681815932</v>
      </c>
      <c r="AB62" s="40">
        <f t="shared" ref="AB62" si="414">SUM(AB55,AB53,AB51,AB46,AB37,AB30,AB16,AB57,AB59,AB61)</f>
        <v>727675828</v>
      </c>
      <c r="AC62" s="40">
        <f t="shared" ref="AC62" si="415">SUM(AC55,AC53,AC51,AC46,AC37,AC30,AC16,AC57,AC59,AC61)</f>
        <v>747753477</v>
      </c>
      <c r="AD62" s="40">
        <f t="shared" ref="AD62" si="416">SUM(AD55,AD53,AD51,AD46,AD37,AD30,AD16,AD57,AD59,AD61)</f>
        <v>723775223</v>
      </c>
      <c r="AE62" s="40">
        <f t="shared" ref="AE62" si="417">SUM(AE55,AE53,AE51,AE46,AE37,AE30,AE16,AE57,AE59,AE61)</f>
        <v>664833655</v>
      </c>
      <c r="AF62" s="40">
        <f t="shared" ref="AF62" si="418">SUM(AF55,AF53,AF51,AF46,AF37,AF30,AF16,AF57,AF59,AF61)</f>
        <v>602570835</v>
      </c>
      <c r="AG62" s="40">
        <f t="shared" ref="AG62" si="419">SUM(AG55,AG53,AG51,AG46,AG37,AG30,AG16,AG57,AG59,AG61)</f>
        <v>525075899</v>
      </c>
      <c r="AH62" s="40">
        <f t="shared" ref="AH62" si="420">SUM(AH55,AH53,AH51,AH46,AH37,AH30,AH16,AH57,AH59,AH61)</f>
        <v>442034974</v>
      </c>
      <c r="AI62" s="40">
        <f t="shared" ref="AI62" si="421">SUM(AI55,AI53,AI51,AI46,AI37,AI30,AI16,AI57,AI59,AI61)</f>
        <v>411951664</v>
      </c>
      <c r="AJ62" s="40">
        <f t="shared" ref="AJ62" si="422">SUM(AJ55,AJ53,AJ51,AJ46,AJ37,AJ30,AJ16,AJ57,AJ59,AJ61)</f>
        <v>384244630</v>
      </c>
      <c r="AK62" s="40">
        <f t="shared" ref="AK62" si="423">SUM(AK55,AK53,AK51,AK46,AK37,AK30,AK16,AK57,AK59,AK61)</f>
        <v>329827517</v>
      </c>
      <c r="AL62" s="40">
        <f t="shared" ref="AL62" si="424">SUM(AL55,AL53,AL51,AL46,AL37,AL30,AL16,AL57,AL59,AL61)</f>
        <v>297780141</v>
      </c>
      <c r="AM62" s="40">
        <f t="shared" ref="AM62" si="425">SUM(AM55,AM53,AM51,AM46,AM37,AM30,AM16,AM57,AM59,AM61)</f>
        <v>258400263</v>
      </c>
      <c r="AN62" s="40">
        <f t="shared" ref="AN62" si="426">SUM(AN55,AN53,AN51,AN46,AN37,AN30,AN16,AN57,AN59,AN61)</f>
        <v>226838767</v>
      </c>
      <c r="AO62" s="40">
        <f t="shared" ref="AO62" si="427">SUM(AO55,AO53,AO51,AO46,AO37,AO30,AO16,AO57,AO59,AO61)</f>
        <v>193747976</v>
      </c>
      <c r="AP62" s="40">
        <f t="shared" ref="AP62" si="428">SUM(AP55,AP53,AP51,AP46,AP37,AP30,AP16,AP57,AP59,AP61)</f>
        <v>168596624</v>
      </c>
    </row>
    <row r="65" spans="1:42" x14ac:dyDescent="0.2">
      <c r="B65" s="6" t="s">
        <v>138</v>
      </c>
      <c r="C65" s="6" t="s">
        <v>139</v>
      </c>
      <c r="D65" s="6" t="s">
        <v>142</v>
      </c>
      <c r="E65" s="6" t="s">
        <v>143</v>
      </c>
      <c r="F65" s="6" t="s">
        <v>144</v>
      </c>
      <c r="G65" s="6" t="s">
        <v>145</v>
      </c>
      <c r="H65" s="6" t="s">
        <v>146</v>
      </c>
      <c r="I65" s="6" t="s">
        <v>150</v>
      </c>
      <c r="J65" s="6" t="s">
        <v>151</v>
      </c>
      <c r="K65" s="6" t="s">
        <v>152</v>
      </c>
      <c r="L65" s="6" t="s">
        <v>153</v>
      </c>
      <c r="M65" s="6" t="s">
        <v>154</v>
      </c>
      <c r="N65" s="6" t="s">
        <v>155</v>
      </c>
      <c r="O65" s="6" t="s">
        <v>156</v>
      </c>
      <c r="P65" s="6" t="s">
        <v>157</v>
      </c>
      <c r="Q65" s="6" t="s">
        <v>158</v>
      </c>
      <c r="R65" s="6" t="s">
        <v>159</v>
      </c>
      <c r="S65" s="6" t="s">
        <v>160</v>
      </c>
      <c r="T65" s="6" t="s">
        <v>161</v>
      </c>
      <c r="U65" s="6" t="s">
        <v>162</v>
      </c>
      <c r="V65" s="6" t="s">
        <v>163</v>
      </c>
      <c r="W65" s="6" t="s">
        <v>164</v>
      </c>
      <c r="X65" s="6" t="s">
        <v>165</v>
      </c>
      <c r="Y65" s="6" t="s">
        <v>166</v>
      </c>
      <c r="Z65" s="6" t="s">
        <v>167</v>
      </c>
      <c r="AA65" s="6" t="s">
        <v>168</v>
      </c>
      <c r="AB65" s="6" t="s">
        <v>169</v>
      </c>
      <c r="AC65" s="6" t="s">
        <v>170</v>
      </c>
      <c r="AD65" s="6" t="s">
        <v>171</v>
      </c>
      <c r="AE65" s="6" t="s">
        <v>172</v>
      </c>
      <c r="AF65" s="6" t="s">
        <v>173</v>
      </c>
      <c r="AG65" s="6" t="s">
        <v>174</v>
      </c>
      <c r="AH65" s="6" t="s">
        <v>175</v>
      </c>
      <c r="AI65" s="6" t="s">
        <v>176</v>
      </c>
      <c r="AJ65" s="6" t="s">
        <v>177</v>
      </c>
      <c r="AK65" s="6" t="s">
        <v>178</v>
      </c>
      <c r="AL65" s="6" t="s">
        <v>179</v>
      </c>
      <c r="AM65" s="6" t="s">
        <v>180</v>
      </c>
      <c r="AN65" s="6" t="s">
        <v>181</v>
      </c>
      <c r="AO65" s="6" t="s">
        <v>182</v>
      </c>
      <c r="AP65" s="6" t="s">
        <v>183</v>
      </c>
    </row>
    <row r="66" spans="1:42" x14ac:dyDescent="0.2">
      <c r="A66" s="61" t="s">
        <v>235</v>
      </c>
      <c r="B66" s="24">
        <v>410026</v>
      </c>
      <c r="C66" s="24">
        <v>2400000</v>
      </c>
      <c r="D66" s="24">
        <v>540000</v>
      </c>
      <c r="E66" s="24">
        <v>527000</v>
      </c>
      <c r="F66" s="24">
        <v>416000</v>
      </c>
      <c r="G66" s="24">
        <v>1516000</v>
      </c>
      <c r="H66" s="24">
        <v>3969000</v>
      </c>
      <c r="I66" s="24">
        <v>18050000</v>
      </c>
      <c r="J66" s="24">
        <v>14229823</v>
      </c>
      <c r="K66" s="24">
        <v>13191004</v>
      </c>
      <c r="L66" s="24">
        <v>9777901</v>
      </c>
      <c r="M66" s="24">
        <v>13274633</v>
      </c>
      <c r="N66" s="24">
        <v>27306604</v>
      </c>
      <c r="O66" s="24">
        <v>53071872</v>
      </c>
      <c r="P66" s="24">
        <v>98609395</v>
      </c>
      <c r="Q66" s="24">
        <v>141979414</v>
      </c>
      <c r="R66" s="24">
        <v>172471445</v>
      </c>
      <c r="S66" s="24">
        <v>198919443</v>
      </c>
      <c r="T66" s="24">
        <v>224995594</v>
      </c>
      <c r="U66" s="24">
        <v>274871952</v>
      </c>
      <c r="V66" s="24">
        <v>300941568</v>
      </c>
      <c r="W66" s="24">
        <v>319532962</v>
      </c>
      <c r="X66" s="24">
        <v>373607769</v>
      </c>
      <c r="Y66" s="24">
        <v>439406450</v>
      </c>
      <c r="Z66" s="24">
        <v>507237804</v>
      </c>
      <c r="AA66" s="24">
        <v>571382596</v>
      </c>
      <c r="AB66" s="24">
        <v>601001328</v>
      </c>
      <c r="AC66" s="24">
        <v>605443270</v>
      </c>
      <c r="AD66" s="24">
        <v>576126751</v>
      </c>
      <c r="AE66" s="24">
        <v>538276228</v>
      </c>
      <c r="AF66" s="24">
        <v>480817670</v>
      </c>
      <c r="AG66" s="24">
        <v>402371628</v>
      </c>
      <c r="AH66" s="24">
        <v>339296742</v>
      </c>
      <c r="AI66" s="24">
        <v>297121261</v>
      </c>
      <c r="AJ66" s="24">
        <v>279959333</v>
      </c>
      <c r="AK66" s="24">
        <v>230536873</v>
      </c>
      <c r="AL66" s="24">
        <v>198394773</v>
      </c>
      <c r="AM66" s="24">
        <v>170161742</v>
      </c>
      <c r="AN66" s="24">
        <v>145702971</v>
      </c>
      <c r="AO66" s="24">
        <v>123160091</v>
      </c>
      <c r="AP66" s="24">
        <v>109797311</v>
      </c>
    </row>
    <row r="67" spans="1:42" x14ac:dyDescent="0.2">
      <c r="A67" s="61" t="s">
        <v>237</v>
      </c>
      <c r="B67" s="24">
        <v>0</v>
      </c>
      <c r="C67" s="24">
        <v>0</v>
      </c>
      <c r="D67" s="24">
        <v>3273000</v>
      </c>
      <c r="E67" s="24">
        <v>2566000</v>
      </c>
      <c r="F67" s="24">
        <v>1941000</v>
      </c>
      <c r="G67" s="24">
        <v>3204000</v>
      </c>
      <c r="H67" s="24">
        <v>3922000</v>
      </c>
      <c r="I67" s="24">
        <v>21328000</v>
      </c>
      <c r="J67" s="24">
        <v>26503090</v>
      </c>
      <c r="K67" s="24">
        <v>30695724</v>
      </c>
      <c r="L67" s="24">
        <v>36567128</v>
      </c>
      <c r="M67" s="24">
        <v>47543233</v>
      </c>
      <c r="N67" s="24">
        <v>57072371</v>
      </c>
      <c r="O67" s="24">
        <v>39842563</v>
      </c>
      <c r="P67" s="24">
        <v>30546114</v>
      </c>
      <c r="Q67" s="24">
        <v>22212506</v>
      </c>
      <c r="R67" s="24">
        <v>22265543</v>
      </c>
      <c r="S67" s="24">
        <v>15500300</v>
      </c>
      <c r="T67" s="24">
        <v>13449116</v>
      </c>
      <c r="U67" s="24">
        <v>10871109</v>
      </c>
      <c r="V67" s="24">
        <v>11655412</v>
      </c>
      <c r="W67" s="24">
        <v>7255321</v>
      </c>
      <c r="X67" s="24">
        <v>6289365</v>
      </c>
      <c r="Y67" s="24">
        <v>5392460</v>
      </c>
      <c r="Z67" s="24">
        <v>4770428</v>
      </c>
      <c r="AA67" s="24">
        <v>3944719</v>
      </c>
      <c r="AB67" s="24">
        <v>2726824</v>
      </c>
      <c r="AC67" s="24">
        <v>4847784</v>
      </c>
      <c r="AD67" s="24">
        <v>5908741</v>
      </c>
      <c r="AE67" s="24">
        <v>12045917</v>
      </c>
      <c r="AF67" s="24">
        <v>22074368</v>
      </c>
      <c r="AG67" s="24">
        <v>27081819</v>
      </c>
      <c r="AH67" s="24">
        <v>25809971</v>
      </c>
      <c r="AI67" s="24">
        <v>24957743</v>
      </c>
      <c r="AJ67" s="24">
        <v>27577942</v>
      </c>
      <c r="AK67" s="24">
        <v>26600347</v>
      </c>
      <c r="AL67" s="24">
        <v>26179150</v>
      </c>
      <c r="AM67" s="24">
        <v>25130497</v>
      </c>
      <c r="AN67" s="24">
        <v>23048423</v>
      </c>
      <c r="AO67" s="24">
        <v>18921535</v>
      </c>
      <c r="AP67" s="24">
        <v>16838857</v>
      </c>
    </row>
    <row r="68" spans="1:42" x14ac:dyDescent="0.2">
      <c r="A68" s="61" t="s">
        <v>236</v>
      </c>
      <c r="B68" s="24">
        <v>5883000</v>
      </c>
      <c r="C68" s="24">
        <v>3000000</v>
      </c>
      <c r="D68" s="24">
        <v>2825000</v>
      </c>
      <c r="E68" s="24">
        <v>2073000</v>
      </c>
      <c r="F68" s="24">
        <v>6522000</v>
      </c>
      <c r="G68" s="24">
        <v>9434000</v>
      </c>
      <c r="H68" s="24">
        <v>20586000</v>
      </c>
      <c r="I68" s="24">
        <v>42034000</v>
      </c>
      <c r="J68" s="24">
        <v>27735308</v>
      </c>
      <c r="K68" s="24">
        <v>17892672</v>
      </c>
      <c r="L68" s="24">
        <v>14745615</v>
      </c>
      <c r="M68" s="24">
        <v>14556588</v>
      </c>
      <c r="N68" s="24">
        <v>21673178</v>
      </c>
      <c r="O68" s="24">
        <v>21424658</v>
      </c>
      <c r="P68" s="24">
        <v>29620273</v>
      </c>
      <c r="Q68" s="24">
        <v>46006138</v>
      </c>
      <c r="R68" s="24">
        <v>63233396</v>
      </c>
      <c r="S68" s="24">
        <v>84272039</v>
      </c>
      <c r="T68" s="24">
        <v>76923049</v>
      </c>
      <c r="U68" s="24">
        <v>92513663</v>
      </c>
      <c r="V68" s="24">
        <v>92551602</v>
      </c>
      <c r="W68" s="24">
        <v>93128871</v>
      </c>
      <c r="X68" s="24">
        <v>92905927</v>
      </c>
      <c r="Y68" s="24">
        <v>92683033</v>
      </c>
      <c r="Z68" s="24">
        <v>90277973</v>
      </c>
      <c r="AA68" s="24">
        <v>83665675</v>
      </c>
      <c r="AB68" s="24">
        <v>101622400</v>
      </c>
      <c r="AC68" s="24">
        <v>114715143</v>
      </c>
      <c r="AD68" s="24">
        <v>117632947</v>
      </c>
      <c r="AE68" s="24">
        <v>87941401</v>
      </c>
      <c r="AF68" s="24">
        <v>71739930</v>
      </c>
      <c r="AG68" s="24">
        <v>71392415</v>
      </c>
      <c r="AH68" s="24">
        <v>47911178</v>
      </c>
      <c r="AI68" s="24">
        <v>54632438</v>
      </c>
      <c r="AJ68" s="24">
        <v>37008236</v>
      </c>
      <c r="AK68" s="24">
        <v>30743068</v>
      </c>
      <c r="AL68" s="24">
        <v>32102206</v>
      </c>
      <c r="AM68" s="24">
        <v>24527059</v>
      </c>
      <c r="AN68" s="24">
        <v>23493278</v>
      </c>
      <c r="AO68" s="24">
        <v>23696809</v>
      </c>
      <c r="AP68" s="24">
        <v>18123545</v>
      </c>
    </row>
    <row r="69" spans="1:42" x14ac:dyDescent="0.2">
      <c r="A69" s="61" t="s">
        <v>238</v>
      </c>
      <c r="B69" s="24">
        <v>21000</v>
      </c>
      <c r="C69" s="24">
        <v>3120000</v>
      </c>
      <c r="D69" s="24">
        <v>8526000</v>
      </c>
      <c r="E69" s="24">
        <v>3743000</v>
      </c>
      <c r="F69" s="24">
        <v>483000</v>
      </c>
      <c r="G69" s="24">
        <v>1893000</v>
      </c>
      <c r="H69" s="24">
        <v>742000</v>
      </c>
      <c r="I69" s="24">
        <v>5898000</v>
      </c>
      <c r="J69" s="24">
        <v>9334273</v>
      </c>
      <c r="K69" s="24">
        <v>14524639</v>
      </c>
      <c r="L69" s="24">
        <v>25857666</v>
      </c>
      <c r="M69" s="24">
        <v>31913924</v>
      </c>
      <c r="N69" s="24">
        <v>33989988</v>
      </c>
      <c r="O69" s="24">
        <v>35045755</v>
      </c>
      <c r="P69" s="24">
        <v>32719957</v>
      </c>
      <c r="Q69" s="24">
        <v>26866741</v>
      </c>
      <c r="R69" s="24">
        <v>20621710</v>
      </c>
      <c r="S69" s="24">
        <v>18988968</v>
      </c>
      <c r="T69" s="24">
        <v>16253146</v>
      </c>
      <c r="U69" s="24">
        <v>17742035</v>
      </c>
      <c r="V69" s="24">
        <v>18424408</v>
      </c>
      <c r="W69" s="24">
        <v>18533823</v>
      </c>
      <c r="X69" s="24">
        <v>20845831</v>
      </c>
      <c r="Y69" s="24">
        <v>20634050</v>
      </c>
      <c r="Z69" s="24">
        <v>19368268</v>
      </c>
      <c r="AA69" s="24">
        <v>18894445</v>
      </c>
      <c r="AB69" s="24">
        <v>19253085</v>
      </c>
      <c r="AC69" s="24">
        <v>19952830</v>
      </c>
      <c r="AD69" s="24">
        <v>21418512</v>
      </c>
      <c r="AE69" s="24">
        <v>24079285</v>
      </c>
      <c r="AF69" s="24">
        <v>25609193</v>
      </c>
      <c r="AG69" s="24">
        <v>21517731</v>
      </c>
      <c r="AH69" s="24">
        <v>25804907</v>
      </c>
      <c r="AI69" s="24">
        <v>32311307</v>
      </c>
      <c r="AJ69" s="24">
        <v>36975513</v>
      </c>
      <c r="AK69" s="24">
        <v>39124781</v>
      </c>
      <c r="AL69" s="24">
        <v>38962396</v>
      </c>
      <c r="AM69" s="24">
        <v>35990960</v>
      </c>
      <c r="AN69" s="24">
        <v>32641349</v>
      </c>
      <c r="AO69" s="24">
        <v>26761425</v>
      </c>
      <c r="AP69" s="24">
        <v>22938009</v>
      </c>
    </row>
    <row r="70" spans="1:42" x14ac:dyDescent="0.2">
      <c r="A70" s="61" t="s">
        <v>239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3472000</v>
      </c>
      <c r="J70" s="24">
        <v>3210340</v>
      </c>
      <c r="K70" s="24">
        <v>16222018</v>
      </c>
      <c r="L70" s="24">
        <v>30961681</v>
      </c>
      <c r="M70" s="24">
        <v>29766650</v>
      </c>
      <c r="N70" s="24">
        <v>31403075</v>
      </c>
      <c r="O70" s="24">
        <v>34072049</v>
      </c>
      <c r="P70" s="24">
        <v>32419312</v>
      </c>
      <c r="Q70" s="24">
        <v>27540440</v>
      </c>
      <c r="R70" s="24">
        <v>24384565</v>
      </c>
      <c r="S70" s="24">
        <v>18952413</v>
      </c>
      <c r="T70" s="24">
        <v>14110285</v>
      </c>
      <c r="U70" s="24">
        <v>13234755</v>
      </c>
      <c r="V70" s="24">
        <v>10728240</v>
      </c>
      <c r="W70" s="24">
        <v>7866202</v>
      </c>
      <c r="X70" s="24">
        <v>6347356</v>
      </c>
      <c r="Y70" s="24">
        <v>5662893</v>
      </c>
      <c r="Z70" s="24">
        <v>4796781</v>
      </c>
      <c r="AA70" s="24">
        <v>3928497</v>
      </c>
      <c r="AB70" s="24">
        <v>3072191</v>
      </c>
      <c r="AC70" s="24">
        <v>2794450</v>
      </c>
      <c r="AD70" s="24">
        <v>2688272</v>
      </c>
      <c r="AE70" s="24">
        <v>2490824</v>
      </c>
      <c r="AF70" s="24">
        <v>2273991</v>
      </c>
      <c r="AG70" s="24">
        <v>1649459</v>
      </c>
      <c r="AH70" s="24">
        <v>1652194</v>
      </c>
      <c r="AI70" s="24">
        <v>1368933</v>
      </c>
      <c r="AJ70" s="24">
        <v>1071311</v>
      </c>
      <c r="AK70" s="24">
        <v>842086</v>
      </c>
      <c r="AL70" s="24">
        <v>547958</v>
      </c>
      <c r="AM70" s="24">
        <v>460685</v>
      </c>
      <c r="AN70" s="24">
        <v>354662</v>
      </c>
      <c r="AO70" s="24">
        <v>297228</v>
      </c>
      <c r="AP70" s="24">
        <v>193960</v>
      </c>
    </row>
    <row r="71" spans="1:42" x14ac:dyDescent="0.2">
      <c r="A71" s="61" t="s">
        <v>60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55683</v>
      </c>
      <c r="AG71" s="24">
        <v>1062847</v>
      </c>
      <c r="AH71" s="24">
        <v>1559982</v>
      </c>
      <c r="AI71" s="24">
        <v>1559982</v>
      </c>
      <c r="AJ71" s="24">
        <v>1652295</v>
      </c>
      <c r="AK71" s="24">
        <v>1980362</v>
      </c>
      <c r="AL71" s="24">
        <v>1593658</v>
      </c>
      <c r="AM71" s="24">
        <v>2129320</v>
      </c>
      <c r="AN71" s="24">
        <v>1598084</v>
      </c>
      <c r="AO71" s="24">
        <v>910888</v>
      </c>
      <c r="AP71" s="24">
        <v>704942</v>
      </c>
    </row>
    <row r="72" spans="1:42" x14ac:dyDescent="0.2">
      <c r="A72" s="61" t="s">
        <v>70</v>
      </c>
      <c r="B72" s="24">
        <v>659000</v>
      </c>
      <c r="C72" s="24">
        <v>0</v>
      </c>
      <c r="D72" s="24">
        <v>0</v>
      </c>
      <c r="E72" s="24">
        <v>126000</v>
      </c>
      <c r="F72" s="24">
        <v>294000</v>
      </c>
      <c r="G72" s="24">
        <v>971000</v>
      </c>
      <c r="H72" s="24">
        <v>70000</v>
      </c>
      <c r="I72" s="24">
        <v>15000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0</v>
      </c>
      <c r="AI72" s="24">
        <v>0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0</v>
      </c>
    </row>
    <row r="73" spans="1:42" x14ac:dyDescent="0.2">
      <c r="A73" s="61" t="s">
        <v>75</v>
      </c>
      <c r="B73" s="24">
        <v>0</v>
      </c>
      <c r="C73" s="24">
        <v>1920000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</row>
    <row r="74" spans="1:42" x14ac:dyDescent="0.2">
      <c r="A74" s="61" t="s">
        <v>240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0</v>
      </c>
    </row>
    <row r="75" spans="1:42" x14ac:dyDescent="0.2">
      <c r="A75" s="61" t="s">
        <v>89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1640000</v>
      </c>
      <c r="J75" s="24">
        <v>1927819</v>
      </c>
      <c r="K75" s="24">
        <v>2683860</v>
      </c>
      <c r="L75" s="24">
        <v>3666357</v>
      </c>
      <c r="M75" s="24">
        <v>3781476</v>
      </c>
      <c r="N75" s="24">
        <v>5002525</v>
      </c>
      <c r="O75" s="24">
        <v>5644132</v>
      </c>
      <c r="P75" s="24">
        <v>4562482</v>
      </c>
      <c r="Q75" s="24">
        <v>3772705</v>
      </c>
      <c r="R75" s="24">
        <v>3497236</v>
      </c>
      <c r="S75" s="24">
        <v>5379256</v>
      </c>
      <c r="T75" s="24">
        <v>4496364</v>
      </c>
      <c r="U75" s="24">
        <v>1850428</v>
      </c>
      <c r="V75" s="24">
        <v>304539</v>
      </c>
      <c r="W75" s="24">
        <v>265361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</row>
    <row r="76" spans="1:42" x14ac:dyDescent="0.2">
      <c r="A76" s="61" t="s">
        <v>61</v>
      </c>
      <c r="B76" s="24">
        <v>6973026</v>
      </c>
      <c r="C76" s="24">
        <v>10440000</v>
      </c>
      <c r="D76" s="24">
        <v>15164000</v>
      </c>
      <c r="E76" s="24">
        <v>9035000</v>
      </c>
      <c r="F76" s="24">
        <v>9656000</v>
      </c>
      <c r="G76" s="24">
        <v>17018000</v>
      </c>
      <c r="H76" s="24">
        <v>29289000</v>
      </c>
      <c r="I76" s="24">
        <v>92437000</v>
      </c>
      <c r="J76" s="24">
        <v>82940653</v>
      </c>
      <c r="K76" s="24">
        <v>95209917</v>
      </c>
      <c r="L76" s="24">
        <v>121576348</v>
      </c>
      <c r="M76" s="24">
        <v>140836504</v>
      </c>
      <c r="N76" s="24">
        <v>176447741</v>
      </c>
      <c r="O76" s="24">
        <v>189101029</v>
      </c>
      <c r="P76" s="24">
        <v>228477533</v>
      </c>
      <c r="Q76" s="24">
        <v>268377944</v>
      </c>
      <c r="R76" s="24">
        <v>306473895</v>
      </c>
      <c r="S76" s="24">
        <v>342012419</v>
      </c>
      <c r="T76" s="24">
        <v>350227554</v>
      </c>
      <c r="U76" s="24">
        <v>411083942</v>
      </c>
      <c r="V76" s="24">
        <v>434605769</v>
      </c>
      <c r="W76" s="24">
        <v>446582540</v>
      </c>
      <c r="X76" s="24">
        <v>499996248</v>
      </c>
      <c r="Y76" s="24">
        <v>563778886</v>
      </c>
      <c r="Z76" s="24">
        <v>626451254</v>
      </c>
      <c r="AA76" s="24">
        <v>681815932</v>
      </c>
      <c r="AB76" s="24">
        <v>727675828</v>
      </c>
      <c r="AC76" s="24">
        <v>747753477</v>
      </c>
      <c r="AD76" s="24">
        <v>723775223</v>
      </c>
      <c r="AE76" s="24">
        <v>664833655</v>
      </c>
      <c r="AF76" s="24">
        <v>602570835</v>
      </c>
      <c r="AG76" s="24">
        <v>525075899</v>
      </c>
      <c r="AH76" s="24">
        <v>442034974</v>
      </c>
      <c r="AI76" s="24">
        <v>411951664</v>
      </c>
      <c r="AJ76" s="24">
        <v>384244630</v>
      </c>
      <c r="AK76" s="24">
        <v>329827517</v>
      </c>
      <c r="AL76" s="24">
        <v>297780141</v>
      </c>
      <c r="AM76" s="24">
        <v>258400263</v>
      </c>
      <c r="AN76" s="24">
        <v>226838767</v>
      </c>
      <c r="AO76" s="24">
        <v>193747976</v>
      </c>
      <c r="AP76" s="24">
        <v>168596624</v>
      </c>
    </row>
    <row r="78" spans="1:42" x14ac:dyDescent="0.2">
      <c r="B78" s="6" t="s">
        <v>138</v>
      </c>
      <c r="C78" s="6" t="s">
        <v>139</v>
      </c>
      <c r="D78" s="6" t="s">
        <v>142</v>
      </c>
      <c r="E78" s="6" t="s">
        <v>143</v>
      </c>
      <c r="F78" s="6" t="s">
        <v>144</v>
      </c>
      <c r="G78" s="6" t="s">
        <v>145</v>
      </c>
      <c r="H78" s="6" t="s">
        <v>146</v>
      </c>
      <c r="I78" s="6" t="s">
        <v>150</v>
      </c>
      <c r="J78" s="6" t="s">
        <v>151</v>
      </c>
      <c r="K78" s="6" t="s">
        <v>152</v>
      </c>
      <c r="L78" s="6" t="s">
        <v>153</v>
      </c>
      <c r="M78" s="6" t="s">
        <v>154</v>
      </c>
      <c r="N78" s="6" t="s">
        <v>155</v>
      </c>
      <c r="O78" s="6" t="s">
        <v>156</v>
      </c>
      <c r="P78" s="6" t="s">
        <v>157</v>
      </c>
      <c r="Q78" s="6" t="s">
        <v>158</v>
      </c>
      <c r="R78" s="6" t="s">
        <v>159</v>
      </c>
      <c r="S78" s="6" t="s">
        <v>160</v>
      </c>
      <c r="T78" s="6" t="s">
        <v>161</v>
      </c>
      <c r="U78" s="6" t="s">
        <v>162</v>
      </c>
      <c r="V78" s="6" t="s">
        <v>163</v>
      </c>
      <c r="W78" s="6" t="s">
        <v>164</v>
      </c>
      <c r="X78" s="6" t="s">
        <v>165</v>
      </c>
      <c r="Y78" s="6" t="s">
        <v>166</v>
      </c>
      <c r="Z78" s="6" t="s">
        <v>167</v>
      </c>
      <c r="AA78" s="6" t="s">
        <v>168</v>
      </c>
      <c r="AB78" s="6" t="s">
        <v>169</v>
      </c>
      <c r="AC78" s="6" t="s">
        <v>170</v>
      </c>
      <c r="AD78" s="6" t="s">
        <v>171</v>
      </c>
      <c r="AE78" s="6" t="s">
        <v>172</v>
      </c>
      <c r="AF78" s="6" t="s">
        <v>173</v>
      </c>
      <c r="AG78" s="6" t="s">
        <v>174</v>
      </c>
      <c r="AH78" s="6" t="s">
        <v>175</v>
      </c>
      <c r="AI78" s="6" t="s">
        <v>176</v>
      </c>
      <c r="AJ78" s="6" t="s">
        <v>177</v>
      </c>
      <c r="AK78" s="6" t="s">
        <v>178</v>
      </c>
      <c r="AL78" s="6" t="s">
        <v>179</v>
      </c>
      <c r="AM78" s="6" t="s">
        <v>180</v>
      </c>
      <c r="AN78" s="6" t="s">
        <v>181</v>
      </c>
      <c r="AO78" s="6" t="s">
        <v>182</v>
      </c>
      <c r="AP78" s="6" t="s">
        <v>183</v>
      </c>
    </row>
    <row r="79" spans="1:42" ht="24" x14ac:dyDescent="0.2">
      <c r="A79" s="61" t="s">
        <v>241</v>
      </c>
      <c r="B79" s="24">
        <f>B7+B8+B9+B10+B11+B12</f>
        <v>0</v>
      </c>
      <c r="C79" s="24">
        <f t="shared" ref="C79:AP79" si="429">C7+C8+C9+C10+C11+C12</f>
        <v>0</v>
      </c>
      <c r="D79" s="24">
        <f t="shared" si="429"/>
        <v>0</v>
      </c>
      <c r="E79" s="24">
        <f t="shared" si="429"/>
        <v>0</v>
      </c>
      <c r="F79" s="24">
        <f t="shared" si="429"/>
        <v>0</v>
      </c>
      <c r="G79" s="24">
        <f t="shared" si="429"/>
        <v>0</v>
      </c>
      <c r="H79" s="24">
        <f t="shared" si="429"/>
        <v>0</v>
      </c>
      <c r="I79" s="24">
        <f t="shared" si="429"/>
        <v>0</v>
      </c>
      <c r="J79" s="24">
        <f t="shared" si="429"/>
        <v>0</v>
      </c>
      <c r="K79" s="24">
        <f t="shared" si="429"/>
        <v>0</v>
      </c>
      <c r="L79" s="24">
        <f t="shared" si="429"/>
        <v>0</v>
      </c>
      <c r="M79" s="24">
        <f t="shared" si="429"/>
        <v>0</v>
      </c>
      <c r="N79" s="24">
        <f t="shared" si="429"/>
        <v>0</v>
      </c>
      <c r="O79" s="24">
        <f t="shared" si="429"/>
        <v>0</v>
      </c>
      <c r="P79" s="24">
        <f t="shared" si="429"/>
        <v>0</v>
      </c>
      <c r="Q79" s="24">
        <f t="shared" si="429"/>
        <v>0</v>
      </c>
      <c r="R79" s="24">
        <f t="shared" si="429"/>
        <v>0</v>
      </c>
      <c r="S79" s="24">
        <f t="shared" si="429"/>
        <v>0</v>
      </c>
      <c r="T79" s="24">
        <f t="shared" si="429"/>
        <v>0</v>
      </c>
      <c r="U79" s="24">
        <f t="shared" si="429"/>
        <v>0</v>
      </c>
      <c r="V79" s="24">
        <f t="shared" si="429"/>
        <v>279898132</v>
      </c>
      <c r="W79" s="24">
        <f t="shared" si="429"/>
        <v>297369087</v>
      </c>
      <c r="X79" s="24">
        <f t="shared" si="429"/>
        <v>348488129</v>
      </c>
      <c r="Y79" s="24">
        <f t="shared" si="429"/>
        <v>411242801</v>
      </c>
      <c r="Z79" s="24">
        <f t="shared" si="429"/>
        <v>468059169</v>
      </c>
      <c r="AA79" s="24">
        <f t="shared" si="429"/>
        <v>526817236</v>
      </c>
      <c r="AB79" s="24">
        <f t="shared" si="429"/>
        <v>555509204</v>
      </c>
      <c r="AC79" s="24">
        <f t="shared" si="429"/>
        <v>561623033</v>
      </c>
      <c r="AD79" s="24">
        <f t="shared" si="429"/>
        <v>537932104</v>
      </c>
      <c r="AE79" s="24">
        <f t="shared" si="429"/>
        <v>508732528</v>
      </c>
      <c r="AF79" s="24">
        <f t="shared" si="429"/>
        <v>461256939</v>
      </c>
      <c r="AG79" s="24">
        <f t="shared" si="429"/>
        <v>389705667</v>
      </c>
      <c r="AH79" s="24">
        <f t="shared" si="429"/>
        <v>331438763</v>
      </c>
      <c r="AI79" s="24">
        <f t="shared" si="429"/>
        <v>292585949</v>
      </c>
      <c r="AJ79" s="24">
        <f t="shared" si="429"/>
        <v>275289808</v>
      </c>
      <c r="AK79" s="24">
        <f t="shared" si="429"/>
        <v>228021310</v>
      </c>
      <c r="AL79" s="24">
        <f t="shared" si="429"/>
        <v>196948015</v>
      </c>
      <c r="AM79" s="24">
        <f t="shared" si="429"/>
        <v>169262431</v>
      </c>
      <c r="AN79" s="24">
        <f t="shared" si="429"/>
        <v>145112708</v>
      </c>
      <c r="AO79" s="24">
        <f t="shared" si="429"/>
        <v>122781433</v>
      </c>
      <c r="AP79" s="24">
        <f t="shared" si="429"/>
        <v>109540085</v>
      </c>
    </row>
    <row r="80" spans="1:42" x14ac:dyDescent="0.2">
      <c r="A80" s="61" t="s">
        <v>245</v>
      </c>
      <c r="B80" s="24">
        <f>B38+B47+B48+B49+B50</f>
        <v>0</v>
      </c>
      <c r="C80" s="24">
        <f t="shared" ref="C80:AP80" si="430">C38+C47+C48+C49+C50</f>
        <v>0</v>
      </c>
      <c r="D80" s="24">
        <f t="shared" si="430"/>
        <v>966000</v>
      </c>
      <c r="E80" s="24">
        <f t="shared" si="430"/>
        <v>136000</v>
      </c>
      <c r="F80" s="24">
        <f t="shared" si="430"/>
        <v>175000</v>
      </c>
      <c r="G80" s="24">
        <f t="shared" si="430"/>
        <v>247000</v>
      </c>
      <c r="H80" s="24">
        <f t="shared" si="430"/>
        <v>366000</v>
      </c>
      <c r="I80" s="24">
        <f t="shared" si="430"/>
        <v>9370000</v>
      </c>
      <c r="J80" s="24">
        <f t="shared" si="430"/>
        <v>12544613</v>
      </c>
      <c r="K80" s="24">
        <f t="shared" si="430"/>
        <v>30746657</v>
      </c>
      <c r="L80" s="24">
        <f t="shared" si="430"/>
        <v>56819347</v>
      </c>
      <c r="M80" s="24">
        <f t="shared" si="430"/>
        <v>61680574</v>
      </c>
      <c r="N80" s="24">
        <f t="shared" si="430"/>
        <v>65393063</v>
      </c>
      <c r="O80" s="24">
        <f t="shared" si="430"/>
        <v>69117804</v>
      </c>
      <c r="P80" s="24">
        <f t="shared" si="430"/>
        <v>65139269</v>
      </c>
      <c r="Q80" s="24">
        <f t="shared" si="430"/>
        <v>54407181</v>
      </c>
      <c r="R80" s="24">
        <f t="shared" si="430"/>
        <v>45006275</v>
      </c>
      <c r="S80" s="24">
        <f t="shared" si="430"/>
        <v>37941381</v>
      </c>
      <c r="T80" s="24">
        <f t="shared" si="430"/>
        <v>30363431</v>
      </c>
      <c r="U80" s="24">
        <f t="shared" si="430"/>
        <v>30976790</v>
      </c>
      <c r="V80" s="24">
        <f t="shared" si="430"/>
        <v>10728240</v>
      </c>
      <c r="W80" s="24">
        <f t="shared" si="430"/>
        <v>7866202</v>
      </c>
      <c r="X80" s="24">
        <f t="shared" si="430"/>
        <v>6347356</v>
      </c>
      <c r="Y80" s="24">
        <f t="shared" si="430"/>
        <v>5662893</v>
      </c>
      <c r="Z80" s="24">
        <f t="shared" si="430"/>
        <v>4796781</v>
      </c>
      <c r="AA80" s="24">
        <f t="shared" si="430"/>
        <v>3928497</v>
      </c>
      <c r="AB80" s="24">
        <f t="shared" si="430"/>
        <v>3072191</v>
      </c>
      <c r="AC80" s="24">
        <f t="shared" si="430"/>
        <v>2794450</v>
      </c>
      <c r="AD80" s="24">
        <f t="shared" si="430"/>
        <v>2688272</v>
      </c>
      <c r="AE80" s="24">
        <f t="shared" si="430"/>
        <v>2490824</v>
      </c>
      <c r="AF80" s="24">
        <f t="shared" si="430"/>
        <v>2273991</v>
      </c>
      <c r="AG80" s="24">
        <f t="shared" si="430"/>
        <v>1649459</v>
      </c>
      <c r="AH80" s="24">
        <f t="shared" si="430"/>
        <v>1652194</v>
      </c>
      <c r="AI80" s="24">
        <f t="shared" si="430"/>
        <v>1368933</v>
      </c>
      <c r="AJ80" s="24">
        <f t="shared" si="430"/>
        <v>1071311</v>
      </c>
      <c r="AK80" s="24">
        <f t="shared" si="430"/>
        <v>842086</v>
      </c>
      <c r="AL80" s="24">
        <f t="shared" si="430"/>
        <v>547958</v>
      </c>
      <c r="AM80" s="24">
        <f t="shared" si="430"/>
        <v>460685</v>
      </c>
      <c r="AN80" s="24">
        <f t="shared" si="430"/>
        <v>354662</v>
      </c>
      <c r="AO80" s="24">
        <f t="shared" si="430"/>
        <v>297228</v>
      </c>
      <c r="AP80" s="24">
        <f t="shared" si="430"/>
        <v>193960</v>
      </c>
    </row>
    <row r="81" spans="1:42" x14ac:dyDescent="0.2">
      <c r="A81" s="61" t="s">
        <v>246</v>
      </c>
      <c r="B81" s="24">
        <f>B76-B79-B80</f>
        <v>6973026</v>
      </c>
      <c r="C81" s="24">
        <f t="shared" ref="C81:AP81" si="431">C76-C79-C80</f>
        <v>10440000</v>
      </c>
      <c r="D81" s="24">
        <f t="shared" si="431"/>
        <v>14198000</v>
      </c>
      <c r="E81" s="24">
        <f t="shared" si="431"/>
        <v>8899000</v>
      </c>
      <c r="F81" s="24">
        <f t="shared" si="431"/>
        <v>9481000</v>
      </c>
      <c r="G81" s="24">
        <f t="shared" si="431"/>
        <v>16771000</v>
      </c>
      <c r="H81" s="24">
        <f t="shared" si="431"/>
        <v>28923000</v>
      </c>
      <c r="I81" s="24">
        <f t="shared" si="431"/>
        <v>83067000</v>
      </c>
      <c r="J81" s="24">
        <f t="shared" si="431"/>
        <v>70396040</v>
      </c>
      <c r="K81" s="24">
        <f t="shared" si="431"/>
        <v>64463260</v>
      </c>
      <c r="L81" s="24">
        <f t="shared" si="431"/>
        <v>64757001</v>
      </c>
      <c r="M81" s="24">
        <f t="shared" si="431"/>
        <v>79155930</v>
      </c>
      <c r="N81" s="24">
        <f t="shared" si="431"/>
        <v>111054678</v>
      </c>
      <c r="O81" s="24">
        <f t="shared" si="431"/>
        <v>119983225</v>
      </c>
      <c r="P81" s="24">
        <f t="shared" si="431"/>
        <v>163338264</v>
      </c>
      <c r="Q81" s="24">
        <f t="shared" si="431"/>
        <v>213970763</v>
      </c>
      <c r="R81" s="24">
        <f t="shared" si="431"/>
        <v>261467620</v>
      </c>
      <c r="S81" s="24">
        <f t="shared" si="431"/>
        <v>304071038</v>
      </c>
      <c r="T81" s="24">
        <f t="shared" si="431"/>
        <v>319864123</v>
      </c>
      <c r="U81" s="24">
        <f t="shared" si="431"/>
        <v>380107152</v>
      </c>
      <c r="V81" s="24">
        <f t="shared" si="431"/>
        <v>143979397</v>
      </c>
      <c r="W81" s="24">
        <f t="shared" si="431"/>
        <v>141347251</v>
      </c>
      <c r="X81" s="24">
        <f t="shared" si="431"/>
        <v>145160763</v>
      </c>
      <c r="Y81" s="24">
        <f t="shared" si="431"/>
        <v>146873192</v>
      </c>
      <c r="Z81" s="24">
        <f t="shared" si="431"/>
        <v>153595304</v>
      </c>
      <c r="AA81" s="24">
        <f t="shared" si="431"/>
        <v>151070199</v>
      </c>
      <c r="AB81" s="24">
        <f t="shared" si="431"/>
        <v>169094433</v>
      </c>
      <c r="AC81" s="24">
        <f t="shared" si="431"/>
        <v>183335994</v>
      </c>
      <c r="AD81" s="24">
        <f t="shared" si="431"/>
        <v>183154847</v>
      </c>
      <c r="AE81" s="24">
        <f t="shared" si="431"/>
        <v>153610303</v>
      </c>
      <c r="AF81" s="24">
        <f t="shared" si="431"/>
        <v>139039905</v>
      </c>
      <c r="AG81" s="24">
        <f t="shared" si="431"/>
        <v>133720773</v>
      </c>
      <c r="AH81" s="24">
        <f t="shared" si="431"/>
        <v>108944017</v>
      </c>
      <c r="AI81" s="24">
        <f t="shared" si="431"/>
        <v>117996782</v>
      </c>
      <c r="AJ81" s="24">
        <f t="shared" si="431"/>
        <v>107883511</v>
      </c>
      <c r="AK81" s="24">
        <f t="shared" si="431"/>
        <v>100964121</v>
      </c>
      <c r="AL81" s="24">
        <f t="shared" si="431"/>
        <v>100284168</v>
      </c>
      <c r="AM81" s="24">
        <f t="shared" si="431"/>
        <v>88677147</v>
      </c>
      <c r="AN81" s="24">
        <f t="shared" si="431"/>
        <v>81371397</v>
      </c>
      <c r="AO81" s="24">
        <f t="shared" si="431"/>
        <v>70669315</v>
      </c>
      <c r="AP81" s="24">
        <f t="shared" si="431"/>
        <v>58862579</v>
      </c>
    </row>
  </sheetData>
  <phoneticPr fontId="2"/>
  <pageMargins left="0.51181102362204722" right="0.51181102362204722" top="0.55118110236220474" bottom="0.55118110236220474" header="0.31496062992125984" footer="0.31496062992125984"/>
  <pageSetup paperSize="9" scale="98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51C63-49EC-487F-91C8-34F0A416312F}">
  <dimension ref="A1:AV33"/>
  <sheetViews>
    <sheetView workbookViewId="0">
      <selection activeCell="G12" sqref="G12"/>
    </sheetView>
  </sheetViews>
  <sheetFormatPr defaultRowHeight="13" x14ac:dyDescent="0.2"/>
  <cols>
    <col min="1" max="1" width="21.90625" customWidth="1"/>
    <col min="2" max="2" width="12.1796875" customWidth="1"/>
    <col min="3" max="3" width="13.90625" customWidth="1"/>
    <col min="4" max="4" width="12.1796875" customWidth="1"/>
    <col min="5" max="5" width="12.08984375" customWidth="1"/>
    <col min="6" max="6" width="11.54296875" bestFit="1" customWidth="1"/>
    <col min="7" max="7" width="11.54296875" customWidth="1"/>
    <col min="8" max="9" width="11.54296875" bestFit="1" customWidth="1"/>
    <col min="10" max="41" width="13.08984375" bestFit="1" customWidth="1"/>
    <col min="42" max="42" width="11.08984375" customWidth="1"/>
  </cols>
  <sheetData>
    <row r="1" spans="1:46" x14ac:dyDescent="0.2">
      <c r="B1">
        <v>2016</v>
      </c>
      <c r="C1">
        <v>2017</v>
      </c>
      <c r="D1">
        <v>2018</v>
      </c>
      <c r="E1">
        <v>2019</v>
      </c>
    </row>
    <row r="2" spans="1:46" x14ac:dyDescent="0.2">
      <c r="B2" t="s">
        <v>344</v>
      </c>
      <c r="C2" t="s">
        <v>345</v>
      </c>
      <c r="D2" t="s">
        <v>346</v>
      </c>
      <c r="E2" t="s">
        <v>347</v>
      </c>
    </row>
    <row r="3" spans="1:46" x14ac:dyDescent="0.2">
      <c r="A3" t="s">
        <v>348</v>
      </c>
      <c r="B3" s="71">
        <v>2625174158</v>
      </c>
      <c r="C3" s="71">
        <v>2269835475.5</v>
      </c>
      <c r="D3" s="71">
        <v>1999601027.5</v>
      </c>
      <c r="E3" s="71">
        <v>1838086550</v>
      </c>
    </row>
    <row r="4" spans="1:46" x14ac:dyDescent="0.2">
      <c r="A4" t="s">
        <v>13</v>
      </c>
      <c r="B4" s="71">
        <v>99133333</v>
      </c>
      <c r="C4" s="71">
        <v>86623064</v>
      </c>
      <c r="D4" s="71">
        <v>95316575</v>
      </c>
      <c r="E4" s="71">
        <v>95403613</v>
      </c>
      <c r="F4">
        <v>67279278</v>
      </c>
    </row>
    <row r="5" spans="1:46" x14ac:dyDescent="0.2">
      <c r="A5" t="s">
        <v>349</v>
      </c>
      <c r="B5" s="71">
        <v>583515</v>
      </c>
      <c r="C5" s="71">
        <v>972000</v>
      </c>
      <c r="D5" s="71">
        <v>2240000</v>
      </c>
      <c r="E5" s="71">
        <v>5720726</v>
      </c>
    </row>
    <row r="6" spans="1:46" x14ac:dyDescent="0.2">
      <c r="A6" t="s">
        <v>350</v>
      </c>
      <c r="B6" s="71">
        <v>2661388</v>
      </c>
      <c r="C6" s="71">
        <v>2960687</v>
      </c>
      <c r="D6" s="71">
        <v>3665370</v>
      </c>
      <c r="E6" s="71">
        <v>5783880</v>
      </c>
    </row>
    <row r="7" spans="1:46" x14ac:dyDescent="0.2">
      <c r="A7" t="s">
        <v>351</v>
      </c>
      <c r="B7" s="71">
        <v>232078</v>
      </c>
      <c r="C7" s="71">
        <v>385640</v>
      </c>
      <c r="D7" s="71">
        <v>1158062</v>
      </c>
      <c r="E7" s="71">
        <v>4116380</v>
      </c>
    </row>
    <row r="8" spans="1:46" x14ac:dyDescent="0.2">
      <c r="B8" s="72">
        <f>(B5+B6)/B4</f>
        <v>3.2732713627211543E-2</v>
      </c>
      <c r="C8" s="72">
        <f t="shared" ref="C8:D8" si="0">(C5+C6)/C4</f>
        <v>4.5399998780925134E-2</v>
      </c>
      <c r="D8" s="72">
        <f t="shared" si="0"/>
        <v>6.195533148353264E-2</v>
      </c>
      <c r="E8" s="72">
        <f>(E5+E6)/(E4+F4)</f>
        <v>7.0717983490962186E-2</v>
      </c>
    </row>
    <row r="10" spans="1:46" x14ac:dyDescent="0.2">
      <c r="A10" t="s">
        <v>352</v>
      </c>
      <c r="B10" s="72">
        <f>B4/B3</f>
        <v>3.776257384596729E-2</v>
      </c>
      <c r="C10" s="72">
        <f t="shared" ref="C10:E10" si="1">C4/C3</f>
        <v>3.8162706035299164E-2</v>
      </c>
      <c r="D10" s="72">
        <f t="shared" si="1"/>
        <v>4.766779656998351E-2</v>
      </c>
      <c r="E10" s="72">
        <f t="shared" si="1"/>
        <v>5.1903765358600772E-2</v>
      </c>
    </row>
    <row r="11" spans="1:46" x14ac:dyDescent="0.2">
      <c r="A11" t="s">
        <v>353</v>
      </c>
      <c r="B11" s="72">
        <f>(B4-B5-B6)/B3</f>
        <v>3.6526502330440816E-2</v>
      </c>
      <c r="C11" s="72">
        <f t="shared" ref="C11:E11" si="2">(C4-C5-C6)/C3</f>
        <v>3.6430119227819781E-2</v>
      </c>
      <c r="D11" s="72">
        <f t="shared" si="2"/>
        <v>4.471452243240058E-2</v>
      </c>
      <c r="E11" s="72">
        <f t="shared" si="2"/>
        <v>4.5644753235368596E-2</v>
      </c>
    </row>
    <row r="12" spans="1:46" x14ac:dyDescent="0.2">
      <c r="A12" t="s">
        <v>354</v>
      </c>
      <c r="B12" s="72">
        <f>(B4-(B5-B7)-B6)/B3</f>
        <v>3.6614907131810946E-2</v>
      </c>
      <c r="C12" s="72">
        <f t="shared" ref="C12:E12" si="3">(C4-(C5-C7)-C6)/C3</f>
        <v>3.6600017004183964E-2</v>
      </c>
      <c r="D12" s="72">
        <f t="shared" si="3"/>
        <v>4.5293668964170405E-2</v>
      </c>
      <c r="E12" s="72">
        <f t="shared" si="3"/>
        <v>4.7884245167889403E-2</v>
      </c>
    </row>
    <row r="13" spans="1:46" x14ac:dyDescent="0.2">
      <c r="B13" s="73"/>
    </row>
    <row r="16" spans="1:46" x14ac:dyDescent="0.2">
      <c r="B16" t="s">
        <v>76</v>
      </c>
      <c r="C16" t="s">
        <v>77</v>
      </c>
      <c r="D16" t="s">
        <v>78</v>
      </c>
      <c r="E16" t="s">
        <v>80</v>
      </c>
      <c r="F16" t="s">
        <v>81</v>
      </c>
      <c r="H16" t="s">
        <v>84</v>
      </c>
      <c r="I16" t="s">
        <v>86</v>
      </c>
      <c r="J16" t="s">
        <v>92</v>
      </c>
      <c r="K16" t="s">
        <v>93</v>
      </c>
      <c r="L16" t="s">
        <v>95</v>
      </c>
      <c r="M16" t="s">
        <v>96</v>
      </c>
      <c r="N16" t="s">
        <v>97</v>
      </c>
      <c r="O16" t="s">
        <v>98</v>
      </c>
      <c r="P16" t="s">
        <v>99</v>
      </c>
      <c r="Q16" t="s">
        <v>100</v>
      </c>
      <c r="R16" t="s">
        <v>101</v>
      </c>
      <c r="S16" t="s">
        <v>102</v>
      </c>
      <c r="T16" t="s">
        <v>103</v>
      </c>
      <c r="U16" t="s">
        <v>104</v>
      </c>
      <c r="V16" t="s">
        <v>105</v>
      </c>
      <c r="W16" t="s">
        <v>106</v>
      </c>
      <c r="X16" t="s">
        <v>107</v>
      </c>
      <c r="Y16" t="s">
        <v>108</v>
      </c>
      <c r="Z16" t="s">
        <v>115</v>
      </c>
      <c r="AA16" t="s">
        <v>116</v>
      </c>
      <c r="AB16" t="s">
        <v>117</v>
      </c>
      <c r="AC16" t="s">
        <v>118</v>
      </c>
      <c r="AD16" t="s">
        <v>119</v>
      </c>
      <c r="AE16" t="s">
        <v>120</v>
      </c>
      <c r="AF16" t="s">
        <v>121</v>
      </c>
      <c r="AG16" t="s">
        <v>122</v>
      </c>
      <c r="AH16" t="s">
        <v>123</v>
      </c>
      <c r="AI16" t="s">
        <v>124</v>
      </c>
      <c r="AJ16" t="s">
        <v>125</v>
      </c>
      <c r="AK16" t="s">
        <v>128</v>
      </c>
      <c r="AL16" t="s">
        <v>129</v>
      </c>
      <c r="AM16" t="s">
        <v>130</v>
      </c>
      <c r="AN16" t="s">
        <v>131</v>
      </c>
      <c r="AO16" t="s">
        <v>132</v>
      </c>
      <c r="AP16" t="s">
        <v>133</v>
      </c>
      <c r="AQ16" t="s">
        <v>134</v>
      </c>
      <c r="AR16" t="s">
        <v>135</v>
      </c>
      <c r="AS16" t="s">
        <v>136</v>
      </c>
      <c r="AT16" t="s">
        <v>347</v>
      </c>
    </row>
    <row r="17" spans="1:48" x14ac:dyDescent="0.2">
      <c r="B17">
        <v>1975</v>
      </c>
      <c r="C17">
        <v>1976</v>
      </c>
      <c r="D17">
        <v>1977</v>
      </c>
      <c r="E17">
        <v>1978</v>
      </c>
      <c r="F17">
        <v>1979</v>
      </c>
      <c r="H17">
        <v>1981</v>
      </c>
      <c r="I17">
        <v>1982</v>
      </c>
      <c r="J17">
        <v>1983</v>
      </c>
      <c r="K17">
        <v>1984</v>
      </c>
      <c r="L17">
        <v>1985</v>
      </c>
      <c r="M17">
        <v>1986</v>
      </c>
      <c r="N17">
        <v>1987</v>
      </c>
      <c r="O17">
        <v>1988</v>
      </c>
      <c r="P17">
        <v>1989</v>
      </c>
      <c r="Q17">
        <v>1990</v>
      </c>
      <c r="R17">
        <v>1991</v>
      </c>
      <c r="S17">
        <v>1992</v>
      </c>
      <c r="T17">
        <v>1993</v>
      </c>
      <c r="U17">
        <v>1994</v>
      </c>
      <c r="V17">
        <v>1995</v>
      </c>
      <c r="W17">
        <v>1996</v>
      </c>
      <c r="X17">
        <v>1997</v>
      </c>
      <c r="Y17">
        <v>1998</v>
      </c>
      <c r="Z17">
        <v>1999</v>
      </c>
      <c r="AA17">
        <v>2000</v>
      </c>
      <c r="AB17">
        <v>2001</v>
      </c>
      <c r="AC17">
        <v>2002</v>
      </c>
      <c r="AD17">
        <v>2003</v>
      </c>
      <c r="AE17">
        <v>2004</v>
      </c>
      <c r="AF17">
        <v>2005</v>
      </c>
      <c r="AG17">
        <v>2006</v>
      </c>
      <c r="AH17">
        <v>2007</v>
      </c>
      <c r="AI17">
        <v>2008</v>
      </c>
      <c r="AJ17">
        <v>2009</v>
      </c>
      <c r="AK17">
        <v>2010</v>
      </c>
      <c r="AL17">
        <v>2011</v>
      </c>
      <c r="AM17">
        <v>2012</v>
      </c>
      <c r="AN17">
        <v>2013</v>
      </c>
      <c r="AO17">
        <v>2014</v>
      </c>
      <c r="AP17">
        <v>2015</v>
      </c>
      <c r="AQ17">
        <v>2016</v>
      </c>
      <c r="AR17">
        <v>2017</v>
      </c>
      <c r="AS17">
        <v>2018</v>
      </c>
      <c r="AT17">
        <v>2019</v>
      </c>
    </row>
    <row r="18" spans="1:48" x14ac:dyDescent="0.2">
      <c r="A18" s="72" t="s">
        <v>355</v>
      </c>
      <c r="B18" s="72">
        <v>7.8601738003937105E-2</v>
      </c>
      <c r="C18" s="72">
        <v>0.10884588462280567</v>
      </c>
      <c r="D18" s="72">
        <v>9.8355631239460339E-2</v>
      </c>
      <c r="E18" s="72">
        <v>9.2521612848992948E-2</v>
      </c>
      <c r="F18" s="72">
        <v>8.9846229230535257E-2</v>
      </c>
      <c r="G18" s="72" t="s">
        <v>356</v>
      </c>
      <c r="H18" s="72">
        <v>7.2940531381770354E-2</v>
      </c>
      <c r="I18" s="72">
        <v>9.2359305821477444E-2</v>
      </c>
      <c r="J18" s="72">
        <v>8.071599740234299E-2</v>
      </c>
      <c r="K18" s="72">
        <v>6.4289491675370153E-2</v>
      </c>
      <c r="L18" s="72">
        <v>6.1170904888096886E-2</v>
      </c>
      <c r="M18" s="72">
        <v>5.2158268677436677E-2</v>
      </c>
      <c r="N18" s="72">
        <v>3.8541989533706786E-2</v>
      </c>
      <c r="O18" s="72">
        <v>3.3964785258672005E-2</v>
      </c>
      <c r="P18" s="72">
        <v>4.1400676666366612E-2</v>
      </c>
      <c r="Q18" s="72">
        <v>6.3980112830046162E-2</v>
      </c>
      <c r="R18" s="72">
        <v>6.2935482909179094E-2</v>
      </c>
      <c r="S18" s="72">
        <v>4.6646325832497899E-2</v>
      </c>
      <c r="T18" s="72">
        <v>3.7288159707449739E-2</v>
      </c>
      <c r="U18" s="72">
        <v>3.3446631157683829E-2</v>
      </c>
      <c r="V18" s="72">
        <v>2.7740207648730867E-2</v>
      </c>
      <c r="W18" s="72">
        <v>2.1080017632992075E-2</v>
      </c>
      <c r="X18" s="72">
        <v>1.9556877083118273E-2</v>
      </c>
      <c r="Y18" s="72">
        <v>1.9181356933107487E-2</v>
      </c>
      <c r="Z18" s="72">
        <v>1.7293883187593343E-2</v>
      </c>
      <c r="AA18" s="72">
        <v>1.7655123699050208E-2</v>
      </c>
      <c r="AB18" s="72">
        <v>1.7006107428090847E-2</v>
      </c>
      <c r="AC18" s="72">
        <v>1.7332679517604768E-2</v>
      </c>
      <c r="AD18" s="72">
        <v>1.7669079762838099E-2</v>
      </c>
      <c r="AE18" s="72">
        <v>1.7401448724066109E-2</v>
      </c>
      <c r="AF18" s="72">
        <v>1.7746355836443344E-2</v>
      </c>
      <c r="AG18" s="72">
        <v>1.802437567572444E-2</v>
      </c>
      <c r="AH18" s="72">
        <v>1.6956517769533514E-2</v>
      </c>
      <c r="AI18" s="72">
        <v>1.6511290509239579E-2</v>
      </c>
      <c r="AJ18" s="72">
        <v>1.70482037411132E-2</v>
      </c>
      <c r="AK18" s="72">
        <v>1.7469878573131547E-2</v>
      </c>
      <c r="AL18" s="72">
        <v>1.6483082447741135E-2</v>
      </c>
      <c r="AM18" s="72">
        <v>1.6548231690074505E-2</v>
      </c>
      <c r="AN18" s="72">
        <v>1.613024642120689E-2</v>
      </c>
      <c r="AO18" s="72">
        <v>1.6327424142412637E-2</v>
      </c>
      <c r="AP18" s="72">
        <v>1.4684136169300956E-2</v>
      </c>
      <c r="AQ18" s="72">
        <v>1.2746410708801439E-2</v>
      </c>
      <c r="AR18" s="72">
        <v>1.1786886005077771E-2</v>
      </c>
      <c r="AS18" s="72">
        <v>1.0827172872114359E-2</v>
      </c>
      <c r="AT18" s="72">
        <v>1.0026575734423388E-2</v>
      </c>
    </row>
    <row r="19" spans="1:48" x14ac:dyDescent="0.2">
      <c r="A19" s="72" t="s">
        <v>357</v>
      </c>
      <c r="B19" s="72">
        <v>0.10810718928275354</v>
      </c>
      <c r="C19" s="72">
        <v>4.9957537171493538E-2</v>
      </c>
      <c r="D19" s="72">
        <v>4.351818794060066E-2</v>
      </c>
      <c r="E19" s="72">
        <v>3.9046885531089419E-2</v>
      </c>
      <c r="F19" s="72">
        <v>4.105635594209453E-2</v>
      </c>
      <c r="G19" s="72" t="s">
        <v>357</v>
      </c>
      <c r="H19" s="72">
        <v>3.4387598553587605E-2</v>
      </c>
      <c r="I19" s="72">
        <v>4.8696106613331382E-2</v>
      </c>
      <c r="J19" s="72">
        <v>4.5978177293683191E-2</v>
      </c>
      <c r="K19" s="72">
        <v>3.8980465592030673E-2</v>
      </c>
      <c r="L19" s="72">
        <v>4.1742959703956181E-2</v>
      </c>
      <c r="M19" s="72">
        <v>4.3764705228199412E-2</v>
      </c>
      <c r="N19" s="72">
        <v>4.0309915384110766E-2</v>
      </c>
      <c r="O19" s="72">
        <v>3.2629922187769431E-2</v>
      </c>
      <c r="P19" s="72">
        <v>3.0308312167804552E-2</v>
      </c>
      <c r="Q19" s="72">
        <v>3.359312557619664E-2</v>
      </c>
      <c r="R19" s="72">
        <v>2.8074826047039529E-2</v>
      </c>
      <c r="S19" s="72">
        <v>2.8885257602360933E-2</v>
      </c>
      <c r="T19" s="72">
        <v>2.9115525355081075E-2</v>
      </c>
      <c r="U19" s="72">
        <v>3.2015115678841757E-2</v>
      </c>
      <c r="V19" s="72">
        <v>3.4610215235313296E-2</v>
      </c>
      <c r="W19" s="72">
        <v>3.4893839561621239E-2</v>
      </c>
      <c r="X19" s="72">
        <v>3.3091464979143323E-2</v>
      </c>
      <c r="Y19" s="72">
        <v>3.5686082508890701E-2</v>
      </c>
      <c r="Z19" s="72">
        <v>3.5072949902823496E-2</v>
      </c>
      <c r="AA19" s="72">
        <v>3.5950752111736178E-2</v>
      </c>
      <c r="AB19" s="72">
        <v>4.0296006173046274E-2</v>
      </c>
      <c r="AC19" s="72">
        <v>3.6206980971507888E-2</v>
      </c>
      <c r="AD19" s="72">
        <v>3.8447398474017278E-2</v>
      </c>
      <c r="AE19" s="72">
        <v>3.5448590809282823E-2</v>
      </c>
      <c r="AF19" s="72">
        <v>3.5887397851798349E-2</v>
      </c>
      <c r="AG19" s="72">
        <v>3.5515799560619066E-2</v>
      </c>
      <c r="AH19" s="72">
        <v>3.578312492689744E-2</v>
      </c>
      <c r="AI19" s="72">
        <v>3.4169209539903315E-2</v>
      </c>
      <c r="AJ19" s="72">
        <v>4.0007213899746354E-2</v>
      </c>
      <c r="AK19" s="72">
        <v>4.2216916000123665E-2</v>
      </c>
      <c r="AL19" s="72">
        <v>4.8821251616730739E-2</v>
      </c>
      <c r="AM19" s="72">
        <v>4.3891981648871037E-2</v>
      </c>
      <c r="AN19" s="72">
        <v>4.4562709600693362E-2</v>
      </c>
      <c r="AO19" s="72">
        <v>3.5007493715814214E-2</v>
      </c>
      <c r="AP19" s="72">
        <v>3.2136991676210078E-2</v>
      </c>
      <c r="AQ19" s="72">
        <v>3.776257384596729E-2</v>
      </c>
      <c r="AR19" s="72">
        <v>3.8162706035299164E-2</v>
      </c>
      <c r="AS19" s="72">
        <v>4.766779656998351E-2</v>
      </c>
      <c r="AT19" s="72">
        <v>5.1903765358600772E-2</v>
      </c>
      <c r="AU19" s="3">
        <f>AVERAGE(AK19:AT19)</f>
        <v>4.2213418606829374E-2</v>
      </c>
      <c r="AV19" s="3">
        <f>AVERAGE(AA19:AT19)</f>
        <v>3.9492333019342442E-2</v>
      </c>
    </row>
    <row r="20" spans="1:48" x14ac:dyDescent="0.2">
      <c r="A20" s="72" t="s">
        <v>358</v>
      </c>
      <c r="B20" s="72">
        <v>2.5505242013906866E-2</v>
      </c>
      <c r="C20" s="72">
        <v>9.922958285220199E-3</v>
      </c>
      <c r="D20" s="72">
        <v>5.1229769606223234E-3</v>
      </c>
      <c r="E20" s="72">
        <v>5.7275972649704259E-3</v>
      </c>
      <c r="F20" s="72">
        <v>7.8410805856267245E-3</v>
      </c>
      <c r="G20" s="72" t="s">
        <v>358</v>
      </c>
      <c r="H20" s="72">
        <v>2.5759374903873936E-2</v>
      </c>
      <c r="I20" s="72">
        <v>6.0889538960370984E-2</v>
      </c>
      <c r="J20" s="72">
        <v>4.9372558598489796E-2</v>
      </c>
      <c r="K20" s="72">
        <v>5.3329817981076444E-2</v>
      </c>
      <c r="L20" s="72">
        <v>5.106024754675887E-2</v>
      </c>
      <c r="M20" s="72">
        <v>6.2412304664398628E-2</v>
      </c>
      <c r="N20" s="72">
        <v>4.5583282144162171E-2</v>
      </c>
      <c r="O20" s="72">
        <v>3.9696219596494747E-2</v>
      </c>
      <c r="P20" s="72">
        <v>3.832525082715417E-2</v>
      </c>
      <c r="Q20" s="72">
        <v>2.8503752049622605E-2</v>
      </c>
      <c r="R20" s="72">
        <v>2.624393635055362E-2</v>
      </c>
      <c r="S20" s="72">
        <v>2.8523887278202417E-2</v>
      </c>
      <c r="T20" s="72">
        <v>3.5630394938521687E-2</v>
      </c>
      <c r="U20" s="72">
        <v>4.4257113338342667E-2</v>
      </c>
      <c r="V20" s="72">
        <v>4.6636742410190418E-2</v>
      </c>
      <c r="W20" s="72">
        <v>4.1738526886825965E-2</v>
      </c>
      <c r="X20" s="72">
        <v>3.2229306640010717E-2</v>
      </c>
      <c r="Y20" s="72">
        <v>3.1870868282001759E-2</v>
      </c>
      <c r="Z20" s="72">
        <v>3.0610025241601148E-2</v>
      </c>
      <c r="AA20" s="72">
        <v>2.9737228064317115E-2</v>
      </c>
      <c r="AB20" s="72">
        <v>2.6732324897759629E-2</v>
      </c>
      <c r="AC20" s="72">
        <v>2.5771760408538034E-2</v>
      </c>
      <c r="AD20" s="72">
        <v>3.1616466404575494E-2</v>
      </c>
      <c r="AE20" s="72">
        <v>3.1867120549036246E-2</v>
      </c>
      <c r="AF20" s="72">
        <v>2.9788139961714068E-2</v>
      </c>
      <c r="AG20" s="72">
        <v>2.7985587496866703E-2</v>
      </c>
      <c r="AH20" s="72">
        <v>3.4458148829662187E-2</v>
      </c>
      <c r="AI20" s="72">
        <v>2.6513561284934917E-2</v>
      </c>
      <c r="AJ20" s="72">
        <v>2.8212084774638747E-2</v>
      </c>
      <c r="AK20" s="72">
        <v>2.4779798325666215E-2</v>
      </c>
      <c r="AL20" s="72">
        <v>2.2213805349126654E-2</v>
      </c>
      <c r="AM20" s="72">
        <v>2.2576384897752089E-2</v>
      </c>
      <c r="AN20" s="72">
        <v>2.6424992853128857E-2</v>
      </c>
      <c r="AO20" s="72">
        <v>2.5191636863821462E-2</v>
      </c>
      <c r="AP20" s="72">
        <v>2.6960101577836897E-2</v>
      </c>
      <c r="AQ20" s="72">
        <v>2.9119895442761706E-2</v>
      </c>
      <c r="AR20" s="72">
        <v>2.8095055649772358E-2</v>
      </c>
      <c r="AS20" s="72">
        <v>2.778720716575547E-2</v>
      </c>
      <c r="AT20" s="72">
        <v>3.6602889020650307E-2</v>
      </c>
      <c r="AU20" s="3">
        <f>AVERAGE(AK20:AT20)</f>
        <v>2.6975176714627198E-2</v>
      </c>
      <c r="AV20" s="3">
        <f>AVERAGE(AA20:AT20)</f>
        <v>2.8121709490915765E-2</v>
      </c>
    </row>
    <row r="24" spans="1:48" x14ac:dyDescent="0.2">
      <c r="B24" t="s">
        <v>359</v>
      </c>
      <c r="C24" t="s">
        <v>360</v>
      </c>
      <c r="D24" t="s">
        <v>361</v>
      </c>
      <c r="E24" t="s">
        <v>362</v>
      </c>
      <c r="F24" t="s">
        <v>363</v>
      </c>
      <c r="G24" t="s">
        <v>364</v>
      </c>
      <c r="H24" t="s">
        <v>365</v>
      </c>
      <c r="I24" t="s">
        <v>366</v>
      </c>
      <c r="J24" t="s">
        <v>367</v>
      </c>
      <c r="K24" t="s">
        <v>368</v>
      </c>
      <c r="L24" t="s">
        <v>369</v>
      </c>
      <c r="M24" t="s">
        <v>370</v>
      </c>
      <c r="N24" t="s">
        <v>371</v>
      </c>
      <c r="O24" t="s">
        <v>372</v>
      </c>
      <c r="P24" t="s">
        <v>373</v>
      </c>
      <c r="Q24" t="s">
        <v>374</v>
      </c>
      <c r="R24" t="s">
        <v>375</v>
      </c>
      <c r="S24" t="s">
        <v>376</v>
      </c>
      <c r="T24" t="s">
        <v>377</v>
      </c>
      <c r="U24" t="s">
        <v>378</v>
      </c>
      <c r="V24" t="s">
        <v>379</v>
      </c>
      <c r="W24" t="s">
        <v>380</v>
      </c>
      <c r="X24" t="s">
        <v>381</v>
      </c>
      <c r="Y24" t="s">
        <v>382</v>
      </c>
      <c r="Z24" t="s">
        <v>383</v>
      </c>
      <c r="AA24" t="s">
        <v>384</v>
      </c>
      <c r="AB24" t="s">
        <v>385</v>
      </c>
      <c r="AC24" t="s">
        <v>386</v>
      </c>
      <c r="AD24" t="s">
        <v>387</v>
      </c>
      <c r="AE24" t="s">
        <v>388</v>
      </c>
      <c r="AF24" t="s">
        <v>389</v>
      </c>
      <c r="AG24" t="s">
        <v>390</v>
      </c>
      <c r="AH24" t="s">
        <v>391</v>
      </c>
      <c r="AI24" t="s">
        <v>392</v>
      </c>
      <c r="AJ24" t="s">
        <v>393</v>
      </c>
      <c r="AK24" t="s">
        <v>394</v>
      </c>
      <c r="AL24" t="s">
        <v>395</v>
      </c>
      <c r="AM24" t="s">
        <v>396</v>
      </c>
      <c r="AN24" t="s">
        <v>397</v>
      </c>
    </row>
    <row r="25" spans="1:48" x14ac:dyDescent="0.2">
      <c r="A25" t="s">
        <v>398</v>
      </c>
      <c r="B25" s="72">
        <v>3.9501913479514664E-2</v>
      </c>
      <c r="C25" s="72">
        <v>4.6146823115624609E-3</v>
      </c>
      <c r="D25" s="72">
        <v>6.2862026297266678E-3</v>
      </c>
      <c r="E25" s="72">
        <v>7.7178713781380455E-3</v>
      </c>
      <c r="F25" s="72">
        <v>7.6465956109351141E-3</v>
      </c>
      <c r="G25" s="72">
        <v>4.0593212168597761E-3</v>
      </c>
      <c r="H25" s="72">
        <v>1.2600457085571917E-2</v>
      </c>
      <c r="I25" s="72">
        <v>1.4635996373382828E-2</v>
      </c>
      <c r="J25" s="72">
        <v>9.6793599375679957E-3</v>
      </c>
      <c r="K25" s="72">
        <v>5.1315891324640473E-3</v>
      </c>
      <c r="L25" s="72">
        <v>3.8681727513896697E-3</v>
      </c>
      <c r="M25" s="72">
        <v>1.5965517185402327E-2</v>
      </c>
      <c r="N25" s="72">
        <v>2.4933540563428967E-2</v>
      </c>
      <c r="O25" s="72">
        <v>1.3450978962519436E-2</v>
      </c>
      <c r="P25" s="72">
        <v>2.4625045753360397E-2</v>
      </c>
      <c r="Q25" s="72">
        <v>2.2893582177944322E-2</v>
      </c>
      <c r="R25" s="72">
        <v>3.1590727627729603E-2</v>
      </c>
      <c r="S25" s="72">
        <v>2.9551829718630851E-2</v>
      </c>
      <c r="T25" s="72">
        <v>2.7503384080809243E-2</v>
      </c>
      <c r="U25" s="72">
        <v>2.1465447317744867E-2</v>
      </c>
      <c r="V25" s="72">
        <v>1.9147123387347545E-2</v>
      </c>
      <c r="W25" s="72">
        <v>2.3211629038859531E-2</v>
      </c>
      <c r="X25" s="72">
        <v>2.1946874546733799E-2</v>
      </c>
      <c r="Y25" s="72">
        <v>1.3230525063371679E-2</v>
      </c>
      <c r="Z25" s="72">
        <v>1.5582347504709198E-2</v>
      </c>
      <c r="AA25" s="72">
        <v>1.6383187533752803E-2</v>
      </c>
      <c r="AB25" s="72">
        <v>9.0207166840873803E-3</v>
      </c>
      <c r="AC25" s="72">
        <v>1.8192905842275911E-2</v>
      </c>
      <c r="AD25" s="72">
        <v>1.0218631557853909E-2</v>
      </c>
      <c r="AE25" s="72">
        <v>1.1829845550456913E-2</v>
      </c>
      <c r="AF25" s="72">
        <v>9.192351096721136E-3</v>
      </c>
      <c r="AG25" s="72">
        <v>1.3856408098250658E-2</v>
      </c>
      <c r="AH25" s="72">
        <v>6.4492727443526939E-3</v>
      </c>
      <c r="AI25" s="72">
        <v>2.1961214254914662E-2</v>
      </c>
      <c r="AJ25" s="72">
        <v>1.8163686726870191E-2</v>
      </c>
      <c r="AK25" s="72">
        <v>1.1946111424429159E-2</v>
      </c>
      <c r="AL25" s="72">
        <v>1.6419072836893811E-2</v>
      </c>
      <c r="AM25" s="72">
        <v>2.9846415949593724E-2</v>
      </c>
      <c r="AN25" s="72">
        <v>2.1240044436427654E-3</v>
      </c>
      <c r="AO25" t="s">
        <v>399</v>
      </c>
      <c r="AP25" s="3">
        <f>AVERAGE(U25:AN25)</f>
        <v>1.5509388580143117E-2</v>
      </c>
      <c r="AQ25" s="3">
        <f>AVERAGE(AD25:AN25)</f>
        <v>1.3818819516725421E-2</v>
      </c>
    </row>
    <row r="26" spans="1:48" x14ac:dyDescent="0.2">
      <c r="A26" t="s">
        <v>400</v>
      </c>
      <c r="B26" s="72">
        <v>4.3953673225199122E-2</v>
      </c>
      <c r="C26" s="72">
        <v>3.6356938286919551E-3</v>
      </c>
      <c r="D26" s="72">
        <v>-1.3159687851432079E-3</v>
      </c>
      <c r="E26" s="72">
        <v>-1.4844203516093289E-3</v>
      </c>
      <c r="F26" s="72">
        <v>3.4966787889645972E-3</v>
      </c>
      <c r="G26" s="72">
        <v>-4.9676959264398635E-3</v>
      </c>
      <c r="H26" s="72">
        <v>3.421275629567312E-3</v>
      </c>
      <c r="I26" s="72">
        <v>9.5804303503112913E-3</v>
      </c>
      <c r="J26" s="72">
        <v>7.607376890973014E-3</v>
      </c>
      <c r="K26" s="72">
        <v>-9.9385179775986839E-4</v>
      </c>
      <c r="L26" s="72">
        <v>3.2936126664662173E-3</v>
      </c>
      <c r="M26" s="72">
        <v>1.6970240778406889E-2</v>
      </c>
      <c r="N26" s="72">
        <v>2.5369551983311363E-2</v>
      </c>
      <c r="O26" s="72">
        <v>1.2270404443151159E-2</v>
      </c>
      <c r="P26" s="72">
        <v>2.315831251328624E-2</v>
      </c>
      <c r="Q26" s="72">
        <v>2.0867264471140984E-2</v>
      </c>
      <c r="R26" s="72">
        <v>3.1523395257553037E-2</v>
      </c>
      <c r="S26" s="72">
        <v>2.7763729556216515E-2</v>
      </c>
      <c r="T26" s="72">
        <v>2.6149223915811863E-2</v>
      </c>
      <c r="U26" s="72">
        <v>2.1086856667290758E-2</v>
      </c>
      <c r="V26" s="72">
        <v>1.8870841739510293E-2</v>
      </c>
      <c r="W26" s="72">
        <v>2.162295814343505E-2</v>
      </c>
      <c r="X26" s="72">
        <v>2.0993474446598524E-2</v>
      </c>
      <c r="Y26" s="72">
        <v>1.2473484198133152E-2</v>
      </c>
      <c r="Z26" s="72">
        <v>1.4941097662169788E-2</v>
      </c>
      <c r="AA26" s="72">
        <v>1.4928288353377017E-2</v>
      </c>
      <c r="AB26" s="72">
        <v>8.6503103185459531E-3</v>
      </c>
      <c r="AC26" s="72">
        <v>1.7709320712436485E-2</v>
      </c>
      <c r="AD26" s="72">
        <v>8.3317973319735686E-3</v>
      </c>
      <c r="AE26" s="72">
        <v>9.2521998746995411E-3</v>
      </c>
      <c r="AF26" s="72">
        <v>5.1902492694082978E-3</v>
      </c>
      <c r="AG26" s="72">
        <v>9.5945537767366806E-3</v>
      </c>
      <c r="AH26" s="72">
        <v>2.8388500451646216E-3</v>
      </c>
      <c r="AI26" s="72">
        <v>1.8710272160725384E-2</v>
      </c>
      <c r="AJ26" s="72">
        <v>1.6117710006570904E-2</v>
      </c>
      <c r="AK26" s="72">
        <v>9.3628957625903914E-3</v>
      </c>
      <c r="AL26" s="72">
        <v>1.1410239323312577E-2</v>
      </c>
      <c r="AM26" s="72">
        <v>2.2396907875163611E-3</v>
      </c>
      <c r="AN26" s="72">
        <v>-7.7785265334758043E-3</v>
      </c>
      <c r="AO26" t="s">
        <v>399</v>
      </c>
      <c r="AP26" s="3">
        <f>AVERAGE(U26:AN26)</f>
        <v>1.1827328202335978E-2</v>
      </c>
      <c r="AQ26" s="3">
        <f>AVERAGE(AE26:AN26)</f>
        <v>7.6938134473248957E-3</v>
      </c>
    </row>
    <row r="28" spans="1:48" x14ac:dyDescent="0.2">
      <c r="AA28" t="s">
        <v>384</v>
      </c>
      <c r="AB28" t="s">
        <v>385</v>
      </c>
      <c r="AC28" t="s">
        <v>386</v>
      </c>
      <c r="AD28" t="s">
        <v>387</v>
      </c>
      <c r="AE28" t="s">
        <v>388</v>
      </c>
      <c r="AF28" t="s">
        <v>389</v>
      </c>
      <c r="AG28" t="s">
        <v>390</v>
      </c>
      <c r="AH28" t="s">
        <v>391</v>
      </c>
      <c r="AI28" t="s">
        <v>392</v>
      </c>
      <c r="AJ28" t="s">
        <v>393</v>
      </c>
      <c r="AK28" t="s">
        <v>394</v>
      </c>
      <c r="AL28" t="s">
        <v>395</v>
      </c>
      <c r="AM28" t="s">
        <v>396</v>
      </c>
    </row>
    <row r="29" spans="1:48" x14ac:dyDescent="0.2">
      <c r="Z29" t="s">
        <v>401</v>
      </c>
      <c r="AA29">
        <v>0.25</v>
      </c>
      <c r="AB29">
        <v>0.31</v>
      </c>
      <c r="AC29">
        <v>0.46</v>
      </c>
      <c r="AD29">
        <v>0.78</v>
      </c>
      <c r="AE29">
        <v>0.97</v>
      </c>
      <c r="AF29">
        <v>1.1200000000000001</v>
      </c>
      <c r="AG29">
        <v>0.28999999999999998</v>
      </c>
      <c r="AH29">
        <v>0.36</v>
      </c>
      <c r="AI29">
        <v>0.43</v>
      </c>
      <c r="AJ29">
        <v>0.34</v>
      </c>
      <c r="AK29">
        <v>0.1</v>
      </c>
      <c r="AL29">
        <v>0.53</v>
      </c>
      <c r="AM29">
        <v>0.1</v>
      </c>
      <c r="AO29" t="s">
        <v>399</v>
      </c>
      <c r="AP29">
        <f>AVERAGE(AA29:AM29)</f>
        <v>0.46461538461538454</v>
      </c>
    </row>
    <row r="31" spans="1:48" x14ac:dyDescent="0.2">
      <c r="B31" t="s">
        <v>359</v>
      </c>
      <c r="C31" t="s">
        <v>360</v>
      </c>
      <c r="D31" t="s">
        <v>361</v>
      </c>
      <c r="E31" t="s">
        <v>362</v>
      </c>
      <c r="F31" t="s">
        <v>363</v>
      </c>
      <c r="G31" t="s">
        <v>364</v>
      </c>
      <c r="H31" t="s">
        <v>365</v>
      </c>
      <c r="I31" t="s">
        <v>366</v>
      </c>
      <c r="J31" t="s">
        <v>367</v>
      </c>
      <c r="K31" t="s">
        <v>368</v>
      </c>
      <c r="L31" t="s">
        <v>369</v>
      </c>
      <c r="M31" t="s">
        <v>370</v>
      </c>
      <c r="N31" t="s">
        <v>371</v>
      </c>
      <c r="O31" t="s">
        <v>372</v>
      </c>
      <c r="P31" t="s">
        <v>373</v>
      </c>
      <c r="Q31" t="s">
        <v>374</v>
      </c>
      <c r="R31" t="s">
        <v>375</v>
      </c>
      <c r="S31" t="s">
        <v>376</v>
      </c>
      <c r="T31" t="s">
        <v>377</v>
      </c>
      <c r="U31" t="s">
        <v>378</v>
      </c>
      <c r="V31" t="s">
        <v>379</v>
      </c>
      <c r="W31" t="s">
        <v>380</v>
      </c>
      <c r="X31" t="s">
        <v>381</v>
      </c>
      <c r="Y31" t="s">
        <v>382</v>
      </c>
      <c r="Z31" t="s">
        <v>383</v>
      </c>
      <c r="AA31" t="s">
        <v>384</v>
      </c>
      <c r="AB31" t="s">
        <v>385</v>
      </c>
      <c r="AC31" t="s">
        <v>386</v>
      </c>
      <c r="AD31" t="s">
        <v>387</v>
      </c>
      <c r="AE31" t="s">
        <v>388</v>
      </c>
      <c r="AF31" t="s">
        <v>389</v>
      </c>
      <c r="AG31" t="s">
        <v>390</v>
      </c>
      <c r="AH31" t="s">
        <v>391</v>
      </c>
      <c r="AI31" t="s">
        <v>392</v>
      </c>
      <c r="AJ31" t="s">
        <v>393</v>
      </c>
      <c r="AK31" t="s">
        <v>394</v>
      </c>
      <c r="AL31" t="s">
        <v>395</v>
      </c>
      <c r="AM31" t="s">
        <v>396</v>
      </c>
      <c r="AN31" t="s">
        <v>397</v>
      </c>
    </row>
    <row r="32" spans="1:48" x14ac:dyDescent="0.2">
      <c r="A32" t="s">
        <v>20</v>
      </c>
      <c r="B32" s="71">
        <v>210117433</v>
      </c>
      <c r="C32" s="71">
        <v>340906414</v>
      </c>
      <c r="D32" s="71">
        <v>462114153</v>
      </c>
      <c r="E32" s="71">
        <v>605317992</v>
      </c>
      <c r="F32" s="71">
        <v>610811443</v>
      </c>
      <c r="G32" s="71">
        <v>548117784</v>
      </c>
      <c r="H32" s="71">
        <v>977261801</v>
      </c>
      <c r="I32" s="71">
        <v>1148075293</v>
      </c>
      <c r="J32" s="71">
        <v>1336722065</v>
      </c>
      <c r="K32" s="71">
        <v>1574665736</v>
      </c>
      <c r="L32" s="71">
        <v>1909467695</v>
      </c>
      <c r="M32" s="71">
        <v>2233860907</v>
      </c>
      <c r="N32" s="71">
        <v>2564628088</v>
      </c>
      <c r="O32" s="71">
        <v>2932720782</v>
      </c>
      <c r="P32" s="71">
        <v>3060330824</v>
      </c>
      <c r="Q32" s="71">
        <v>3581582216</v>
      </c>
      <c r="R32" s="71">
        <v>4003922329</v>
      </c>
      <c r="S32" s="71">
        <v>4102242138</v>
      </c>
      <c r="T32" s="71">
        <v>4585975330</v>
      </c>
      <c r="U32" s="71">
        <v>5415534204</v>
      </c>
      <c r="V32" s="71">
        <v>6058496101</v>
      </c>
      <c r="W32" s="71">
        <v>6925468079</v>
      </c>
      <c r="X32" s="71">
        <v>7566202310</v>
      </c>
      <c r="Y32" s="71">
        <v>7970472842</v>
      </c>
      <c r="Z32" s="71">
        <v>7839237083</v>
      </c>
      <c r="AA32" s="71">
        <v>7465974646</v>
      </c>
      <c r="AB32" s="71">
        <v>7115508024</v>
      </c>
      <c r="AC32" s="71">
        <v>6167948401</v>
      </c>
      <c r="AD32" s="71">
        <v>5334141026</v>
      </c>
      <c r="AE32" s="71">
        <v>4947628206</v>
      </c>
      <c r="AF32" s="71">
        <v>4557057492</v>
      </c>
      <c r="AG32" s="71">
        <v>4070098489</v>
      </c>
      <c r="AH32" s="71">
        <v>3495128155</v>
      </c>
      <c r="AI32" s="71">
        <v>3141588026</v>
      </c>
      <c r="AJ32" s="71">
        <v>2815395687</v>
      </c>
      <c r="AK32" s="71">
        <v>2434952629</v>
      </c>
      <c r="AL32" s="71">
        <v>2104718322</v>
      </c>
      <c r="AM32" s="71">
        <v>1894483733</v>
      </c>
      <c r="AN32" s="71">
        <v>1781689367</v>
      </c>
    </row>
    <row r="33" spans="1:40" x14ac:dyDescent="0.2">
      <c r="A33" t="s">
        <v>21</v>
      </c>
      <c r="B33" s="71">
        <v>272600000</v>
      </c>
      <c r="C33" s="71">
        <v>321550000</v>
      </c>
      <c r="D33" s="71">
        <v>393657000</v>
      </c>
      <c r="E33" s="71">
        <v>604980400</v>
      </c>
      <c r="F33" s="71">
        <v>645000000</v>
      </c>
      <c r="G33" s="71">
        <v>590000000</v>
      </c>
      <c r="H33" s="71">
        <v>905000000</v>
      </c>
      <c r="I33" s="71">
        <v>1058099869</v>
      </c>
      <c r="J33" s="71">
        <v>1261886480</v>
      </c>
      <c r="K33" s="71">
        <v>1420160735</v>
      </c>
      <c r="L33" s="71">
        <v>1694146360</v>
      </c>
      <c r="M33" s="71">
        <v>1979916857</v>
      </c>
      <c r="N33" s="71">
        <v>2235884261</v>
      </c>
      <c r="O33" s="71">
        <v>2643455535</v>
      </c>
      <c r="P33" s="71">
        <v>2719527471</v>
      </c>
      <c r="Q33" s="71">
        <v>3153997281</v>
      </c>
      <c r="R33" s="71">
        <v>3500310515</v>
      </c>
      <c r="S33" s="71">
        <v>3552011194</v>
      </c>
      <c r="T33" s="71">
        <v>3935335449</v>
      </c>
      <c r="U33" s="71">
        <v>4214754287</v>
      </c>
      <c r="V33" s="71">
        <v>4862000000</v>
      </c>
      <c r="W33" s="71">
        <v>5393531577</v>
      </c>
      <c r="X33" s="71">
        <v>5722201988</v>
      </c>
      <c r="Y33" s="71">
        <v>6169460796</v>
      </c>
      <c r="Z33" s="71">
        <v>6025694408</v>
      </c>
      <c r="AA33" s="71">
        <v>5707401544</v>
      </c>
      <c r="AB33" s="71">
        <v>5209257778</v>
      </c>
      <c r="AC33" s="71">
        <v>4768492682</v>
      </c>
      <c r="AD33" s="71">
        <v>4479998866</v>
      </c>
      <c r="AE33" s="71">
        <v>3911871805</v>
      </c>
      <c r="AF33" s="71">
        <v>3500290961</v>
      </c>
      <c r="AG33" s="71">
        <v>3142982057</v>
      </c>
      <c r="AH33" s="71">
        <v>2615026484</v>
      </c>
      <c r="AI33" s="71">
        <v>2287394117</v>
      </c>
      <c r="AJ33" s="71">
        <v>1873861231</v>
      </c>
      <c r="AK33" s="71">
        <v>1548811522</v>
      </c>
      <c r="AL33" s="71">
        <v>1268932009</v>
      </c>
      <c r="AM33" s="71">
        <v>1058581768</v>
      </c>
      <c r="AN33" s="71">
        <v>966677007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5F154-8E00-4629-A04A-AF3DF0D62FAD}">
  <dimension ref="A1:AV54"/>
  <sheetViews>
    <sheetView topLeftCell="A40" workbookViewId="0">
      <selection sqref="A1:XFD1048576"/>
    </sheetView>
  </sheetViews>
  <sheetFormatPr defaultRowHeight="13" x14ac:dyDescent="0.2"/>
  <cols>
    <col min="1" max="1" width="29.54296875" customWidth="1"/>
    <col min="2" max="2" width="11" style="4" bestFit="1" customWidth="1"/>
    <col min="3" max="3" width="13.6328125" style="4" bestFit="1" customWidth="1"/>
    <col min="4" max="4" width="12.81640625" style="4" customWidth="1"/>
    <col min="5" max="15" width="11.453125" style="4" customWidth="1"/>
    <col min="16" max="17" width="12.81640625" style="4" customWidth="1"/>
    <col min="18" max="18" width="12.6328125" style="4" customWidth="1"/>
    <col min="19" max="19" width="12.453125" style="4" customWidth="1"/>
    <col min="20" max="20" width="13.81640625" style="4" customWidth="1"/>
    <col min="21" max="21" width="12.81640625" style="4" customWidth="1"/>
    <col min="22" max="22" width="12.453125" style="4" customWidth="1"/>
    <col min="23" max="23" width="12.90625" style="4" customWidth="1"/>
    <col min="24" max="24" width="13.36328125" style="4" customWidth="1"/>
    <col min="25" max="25" width="13.6328125" style="4" customWidth="1"/>
    <col min="26" max="26" width="13.08984375" style="4" customWidth="1"/>
    <col min="27" max="27" width="12.453125" style="4" customWidth="1"/>
    <col min="28" max="28" width="12.6328125" style="4" customWidth="1"/>
    <col min="29" max="29" width="13.90625" style="4" customWidth="1"/>
    <col min="30" max="30" width="14" style="4" customWidth="1"/>
    <col min="31" max="31" width="13.1796875" style="4" customWidth="1"/>
    <col min="32" max="32" width="13.08984375" style="4" customWidth="1"/>
    <col min="33" max="33" width="13.36328125" style="4" customWidth="1"/>
    <col min="34" max="34" width="13.6328125" style="4" customWidth="1"/>
    <col min="35" max="35" width="12.81640625" style="4" customWidth="1"/>
    <col min="36" max="48" width="14.1796875" style="4" customWidth="1"/>
  </cols>
  <sheetData>
    <row r="1" spans="1:48" x14ac:dyDescent="0.2">
      <c r="A1" s="51" t="s">
        <v>0</v>
      </c>
      <c r="B1" s="52" t="s">
        <v>28</v>
      </c>
      <c r="C1" s="52" t="s">
        <v>74</v>
      </c>
      <c r="D1" s="52" t="s">
        <v>76</v>
      </c>
      <c r="E1" s="52" t="s">
        <v>77</v>
      </c>
      <c r="F1" s="52" t="s">
        <v>78</v>
      </c>
      <c r="G1" s="52" t="s">
        <v>80</v>
      </c>
      <c r="H1" s="52" t="s">
        <v>81</v>
      </c>
      <c r="I1" s="52" t="s">
        <v>83</v>
      </c>
      <c r="J1" s="52" t="s">
        <v>84</v>
      </c>
      <c r="K1" s="52" t="s">
        <v>86</v>
      </c>
      <c r="L1" s="52" t="s">
        <v>92</v>
      </c>
      <c r="M1" s="52" t="s">
        <v>93</v>
      </c>
      <c r="N1" s="52" t="s">
        <v>95</v>
      </c>
      <c r="O1" s="52" t="s">
        <v>96</v>
      </c>
      <c r="P1" s="52" t="s">
        <v>97</v>
      </c>
      <c r="Q1" s="52" t="s">
        <v>98</v>
      </c>
      <c r="R1" s="52" t="s">
        <v>99</v>
      </c>
      <c r="S1" s="52" t="s">
        <v>100</v>
      </c>
      <c r="T1" s="52" t="s">
        <v>101</v>
      </c>
      <c r="U1" s="52" t="s">
        <v>102</v>
      </c>
      <c r="V1" s="52" t="s">
        <v>103</v>
      </c>
      <c r="W1" s="52" t="s">
        <v>104</v>
      </c>
      <c r="X1" s="52" t="s">
        <v>105</v>
      </c>
      <c r="Y1" s="52" t="s">
        <v>106</v>
      </c>
      <c r="Z1" s="52" t="s">
        <v>107</v>
      </c>
      <c r="AA1" s="52" t="s">
        <v>108</v>
      </c>
      <c r="AB1" s="52" t="s">
        <v>115</v>
      </c>
      <c r="AC1" s="52" t="s">
        <v>116</v>
      </c>
      <c r="AD1" s="52" t="s">
        <v>117</v>
      </c>
      <c r="AE1" s="52" t="s">
        <v>118</v>
      </c>
      <c r="AF1" s="52" t="s">
        <v>119</v>
      </c>
      <c r="AG1" s="52" t="s">
        <v>120</v>
      </c>
      <c r="AH1" s="52" t="s">
        <v>121</v>
      </c>
      <c r="AI1" s="52" t="s">
        <v>122</v>
      </c>
      <c r="AJ1" s="52" t="s">
        <v>123</v>
      </c>
      <c r="AK1" s="52" t="s">
        <v>124</v>
      </c>
      <c r="AL1" s="52" t="s">
        <v>125</v>
      </c>
      <c r="AM1" s="52" t="s">
        <v>128</v>
      </c>
      <c r="AN1" s="52" t="s">
        <v>129</v>
      </c>
      <c r="AO1" s="52" t="s">
        <v>130</v>
      </c>
      <c r="AP1" s="52" t="s">
        <v>131</v>
      </c>
      <c r="AQ1" s="52" t="s">
        <v>132</v>
      </c>
      <c r="AR1" s="52" t="s">
        <v>133</v>
      </c>
      <c r="AS1" s="52" t="s">
        <v>134</v>
      </c>
      <c r="AT1" s="52" t="s">
        <v>135</v>
      </c>
      <c r="AU1" s="52" t="s">
        <v>136</v>
      </c>
      <c r="AV1" s="52" t="s">
        <v>347</v>
      </c>
    </row>
    <row r="2" spans="1:48" x14ac:dyDescent="0.2">
      <c r="A2" s="51" t="s">
        <v>1</v>
      </c>
      <c r="B2" s="52">
        <v>6</v>
      </c>
      <c r="C2" s="52">
        <v>7</v>
      </c>
      <c r="D2" s="52">
        <v>8</v>
      </c>
      <c r="E2" s="52">
        <v>9</v>
      </c>
      <c r="F2" s="52">
        <v>10</v>
      </c>
      <c r="G2" s="52">
        <v>11</v>
      </c>
      <c r="H2" s="52">
        <v>12</v>
      </c>
      <c r="I2" s="52">
        <v>13</v>
      </c>
      <c r="J2" s="52">
        <v>14</v>
      </c>
      <c r="K2" s="52">
        <v>15</v>
      </c>
      <c r="L2" s="52">
        <v>16</v>
      </c>
      <c r="M2" s="52">
        <v>17</v>
      </c>
      <c r="N2" s="52">
        <v>18</v>
      </c>
      <c r="O2" s="52">
        <v>19</v>
      </c>
      <c r="P2" s="52">
        <v>20</v>
      </c>
      <c r="Q2" s="52">
        <v>21</v>
      </c>
      <c r="R2" s="52">
        <v>22</v>
      </c>
      <c r="S2" s="52">
        <v>23</v>
      </c>
      <c r="T2" s="52">
        <v>24</v>
      </c>
      <c r="U2" s="52">
        <v>25</v>
      </c>
      <c r="V2" s="52">
        <v>26</v>
      </c>
      <c r="W2" s="52">
        <v>27</v>
      </c>
      <c r="X2" s="52">
        <v>28</v>
      </c>
      <c r="Y2" s="52">
        <v>29</v>
      </c>
      <c r="Z2" s="52">
        <v>30</v>
      </c>
      <c r="AA2" s="52">
        <v>31</v>
      </c>
      <c r="AB2" s="52">
        <v>32</v>
      </c>
      <c r="AC2" s="52">
        <v>33</v>
      </c>
      <c r="AD2" s="52">
        <v>34</v>
      </c>
      <c r="AE2" s="52">
        <v>35</v>
      </c>
      <c r="AF2" s="52">
        <v>36</v>
      </c>
      <c r="AG2" s="52">
        <v>37</v>
      </c>
      <c r="AH2" s="52">
        <v>38</v>
      </c>
      <c r="AI2" s="52">
        <v>39</v>
      </c>
      <c r="AJ2" s="52">
        <v>40</v>
      </c>
      <c r="AK2" s="52">
        <v>41</v>
      </c>
      <c r="AL2" s="52">
        <v>42</v>
      </c>
      <c r="AM2" s="52">
        <v>43</v>
      </c>
      <c r="AN2" s="52">
        <v>44</v>
      </c>
      <c r="AO2" s="52">
        <v>45</v>
      </c>
      <c r="AP2" s="52">
        <v>46</v>
      </c>
      <c r="AQ2" s="52">
        <v>47</v>
      </c>
      <c r="AR2" s="52">
        <v>48</v>
      </c>
      <c r="AS2" s="52">
        <v>49</v>
      </c>
      <c r="AT2" s="52">
        <v>50</v>
      </c>
      <c r="AU2" s="52">
        <v>51</v>
      </c>
      <c r="AV2" s="52">
        <v>52</v>
      </c>
    </row>
    <row r="3" spans="1:48" s="1" customFormat="1" x14ac:dyDescent="0.2">
      <c r="A3" s="53" t="s">
        <v>29</v>
      </c>
      <c r="B3" s="53">
        <v>26024</v>
      </c>
      <c r="C3" s="53">
        <v>27120</v>
      </c>
      <c r="D3" s="53">
        <v>27485</v>
      </c>
      <c r="E3" s="53">
        <v>27851</v>
      </c>
      <c r="F3" s="53">
        <v>28216</v>
      </c>
      <c r="G3" s="53">
        <v>28581</v>
      </c>
      <c r="H3" s="53">
        <v>28946</v>
      </c>
      <c r="I3" s="53">
        <v>29312</v>
      </c>
      <c r="J3" s="53">
        <v>29738</v>
      </c>
      <c r="K3" s="53">
        <v>30103</v>
      </c>
      <c r="L3" s="53">
        <v>30468</v>
      </c>
      <c r="M3" s="53">
        <v>30834</v>
      </c>
      <c r="N3" s="53">
        <v>31199</v>
      </c>
      <c r="O3" s="53">
        <v>31564</v>
      </c>
      <c r="P3" s="53">
        <v>31929</v>
      </c>
      <c r="Q3" s="53">
        <v>32295</v>
      </c>
      <c r="R3" s="53">
        <v>32660</v>
      </c>
      <c r="S3" s="53">
        <v>33025</v>
      </c>
      <c r="T3" s="53">
        <v>33390</v>
      </c>
      <c r="U3" s="53">
        <v>33756</v>
      </c>
      <c r="V3" s="53">
        <v>34121</v>
      </c>
      <c r="W3" s="53">
        <v>34486</v>
      </c>
      <c r="X3" s="53">
        <v>34851</v>
      </c>
      <c r="Y3" s="53">
        <v>35217</v>
      </c>
      <c r="Z3" s="53">
        <v>35582</v>
      </c>
      <c r="AA3" s="53">
        <v>35947</v>
      </c>
      <c r="AB3" s="53">
        <v>36312</v>
      </c>
      <c r="AC3" s="53">
        <v>36678</v>
      </c>
      <c r="AD3" s="53">
        <v>37043</v>
      </c>
      <c r="AE3" s="53">
        <v>37408</v>
      </c>
      <c r="AF3" s="53">
        <v>37773</v>
      </c>
      <c r="AG3" s="53">
        <v>38139</v>
      </c>
      <c r="AH3" s="53">
        <v>38504</v>
      </c>
      <c r="AI3" s="53">
        <v>38869</v>
      </c>
      <c r="AJ3" s="53">
        <v>39234</v>
      </c>
      <c r="AK3" s="53">
        <v>39600</v>
      </c>
      <c r="AL3" s="53">
        <v>39965</v>
      </c>
      <c r="AM3" s="53">
        <v>40330</v>
      </c>
      <c r="AN3" s="53">
        <v>40695</v>
      </c>
      <c r="AO3" s="53">
        <v>41061</v>
      </c>
      <c r="AP3" s="53">
        <v>41426</v>
      </c>
      <c r="AQ3" s="53">
        <v>41791</v>
      </c>
      <c r="AR3" s="53">
        <v>42156</v>
      </c>
      <c r="AS3" s="53">
        <v>42522</v>
      </c>
      <c r="AT3" s="53">
        <v>42887</v>
      </c>
      <c r="AU3" s="53">
        <v>43252</v>
      </c>
      <c r="AV3" s="53"/>
    </row>
    <row r="4" spans="1:48" s="1" customFormat="1" x14ac:dyDescent="0.2">
      <c r="A4" s="53" t="s">
        <v>30</v>
      </c>
      <c r="B4" s="53">
        <v>26389</v>
      </c>
      <c r="C4" s="53">
        <v>27484</v>
      </c>
      <c r="D4" s="53">
        <v>27850</v>
      </c>
      <c r="E4" s="53">
        <v>28215</v>
      </c>
      <c r="F4" s="53">
        <v>28580</v>
      </c>
      <c r="G4" s="53">
        <v>28945</v>
      </c>
      <c r="H4" s="53">
        <v>29311</v>
      </c>
      <c r="I4" s="53">
        <v>29676</v>
      </c>
      <c r="J4" s="53">
        <v>30102</v>
      </c>
      <c r="K4" s="53">
        <v>30467</v>
      </c>
      <c r="L4" s="53">
        <v>30833</v>
      </c>
      <c r="M4" s="53">
        <v>31198</v>
      </c>
      <c r="N4" s="53">
        <v>31563</v>
      </c>
      <c r="O4" s="53">
        <v>31928</v>
      </c>
      <c r="P4" s="53">
        <v>32294</v>
      </c>
      <c r="Q4" s="53">
        <v>32659</v>
      </c>
      <c r="R4" s="53">
        <v>33024</v>
      </c>
      <c r="S4" s="53">
        <v>33389</v>
      </c>
      <c r="T4" s="53">
        <v>33755</v>
      </c>
      <c r="U4" s="53">
        <v>34120</v>
      </c>
      <c r="V4" s="53">
        <v>34485</v>
      </c>
      <c r="W4" s="53">
        <v>34850</v>
      </c>
      <c r="X4" s="53">
        <v>35216</v>
      </c>
      <c r="Y4" s="53">
        <v>35581</v>
      </c>
      <c r="Z4" s="53">
        <v>35946</v>
      </c>
      <c r="AA4" s="53">
        <v>36311</v>
      </c>
      <c r="AB4" s="53">
        <v>36677</v>
      </c>
      <c r="AC4" s="53">
        <v>37042</v>
      </c>
      <c r="AD4" s="53">
        <v>37407</v>
      </c>
      <c r="AE4" s="53">
        <v>37772</v>
      </c>
      <c r="AF4" s="53">
        <v>38138</v>
      </c>
      <c r="AG4" s="53">
        <v>38503</v>
      </c>
      <c r="AH4" s="53">
        <v>38868</v>
      </c>
      <c r="AI4" s="53">
        <v>39233</v>
      </c>
      <c r="AJ4" s="53">
        <v>39599</v>
      </c>
      <c r="AK4" s="53">
        <v>39964</v>
      </c>
      <c r="AL4" s="53">
        <v>40329</v>
      </c>
      <c r="AM4" s="53">
        <v>40694</v>
      </c>
      <c r="AN4" s="53">
        <v>41060</v>
      </c>
      <c r="AO4" s="53">
        <v>41425</v>
      </c>
      <c r="AP4" s="53">
        <v>41790</v>
      </c>
      <c r="AQ4" s="53">
        <v>42155</v>
      </c>
      <c r="AR4" s="53">
        <v>42521</v>
      </c>
      <c r="AS4" s="53">
        <v>42886</v>
      </c>
      <c r="AT4" s="53">
        <v>43251</v>
      </c>
      <c r="AU4" s="53">
        <v>43616</v>
      </c>
      <c r="AV4" s="53"/>
    </row>
    <row r="5" spans="1:48" x14ac:dyDescent="0.2">
      <c r="A5" s="51" t="s">
        <v>16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</row>
    <row r="6" spans="1:48" s="2" customFormat="1" x14ac:dyDescent="0.2">
      <c r="A6" s="54" t="s">
        <v>5</v>
      </c>
      <c r="B6" s="52">
        <f t="shared" ref="B6:AU6" si="0">B14</f>
        <v>56467806</v>
      </c>
      <c r="C6" s="52">
        <f t="shared" si="0"/>
        <v>27852749</v>
      </c>
      <c r="D6" s="52">
        <f t="shared" si="0"/>
        <v>38742267</v>
      </c>
      <c r="E6" s="52">
        <f t="shared" si="0"/>
        <v>39729896</v>
      </c>
      <c r="F6" s="52">
        <f t="shared" si="0"/>
        <v>68839790</v>
      </c>
      <c r="G6" s="52">
        <f t="shared" si="0"/>
        <v>72944271</v>
      </c>
      <c r="H6" s="52">
        <f t="shared" si="0"/>
        <v>77292930</v>
      </c>
      <c r="I6" s="52">
        <f t="shared" si="0"/>
        <v>137603039</v>
      </c>
      <c r="J6" s="52">
        <f t="shared" si="0"/>
        <v>210117433</v>
      </c>
      <c r="K6" s="52">
        <f t="shared" si="0"/>
        <v>340906414</v>
      </c>
      <c r="L6" s="52">
        <f t="shared" si="0"/>
        <v>462114153</v>
      </c>
      <c r="M6" s="52">
        <f t="shared" si="0"/>
        <v>605317992</v>
      </c>
      <c r="N6" s="52">
        <f t="shared" si="0"/>
        <v>610811443</v>
      </c>
      <c r="O6" s="52">
        <f t="shared" si="0"/>
        <v>548117784</v>
      </c>
      <c r="P6" s="52">
        <f t="shared" si="0"/>
        <v>977261801</v>
      </c>
      <c r="Q6" s="52">
        <f t="shared" si="0"/>
        <v>1148075293</v>
      </c>
      <c r="R6" s="52">
        <f t="shared" si="0"/>
        <v>1336722065</v>
      </c>
      <c r="S6" s="52">
        <f t="shared" si="0"/>
        <v>1574665736</v>
      </c>
      <c r="T6" s="52">
        <f t="shared" si="0"/>
        <v>1909467695</v>
      </c>
      <c r="U6" s="52">
        <f t="shared" si="0"/>
        <v>2233860907</v>
      </c>
      <c r="V6" s="52">
        <f t="shared" si="0"/>
        <v>2564628088</v>
      </c>
      <c r="W6" s="52">
        <f t="shared" si="0"/>
        <v>2932720782</v>
      </c>
      <c r="X6" s="52">
        <f t="shared" si="0"/>
        <v>3060330824</v>
      </c>
      <c r="Y6" s="52">
        <f t="shared" si="0"/>
        <v>3581582216</v>
      </c>
      <c r="Z6" s="52">
        <f t="shared" si="0"/>
        <v>4003922329</v>
      </c>
      <c r="AA6" s="52">
        <f t="shared" si="0"/>
        <v>4102242138</v>
      </c>
      <c r="AB6" s="52">
        <f t="shared" si="0"/>
        <v>4585975330</v>
      </c>
      <c r="AC6" s="52">
        <f t="shared" si="0"/>
        <v>5415534204</v>
      </c>
      <c r="AD6" s="52">
        <f t="shared" si="0"/>
        <v>6058496101</v>
      </c>
      <c r="AE6" s="52">
        <f t="shared" si="0"/>
        <v>6925468079</v>
      </c>
      <c r="AF6" s="52">
        <f t="shared" si="0"/>
        <v>7566202310</v>
      </c>
      <c r="AG6" s="52">
        <f t="shared" si="0"/>
        <v>7970472842</v>
      </c>
      <c r="AH6" s="52">
        <f t="shared" si="0"/>
        <v>7839237083</v>
      </c>
      <c r="AI6" s="52">
        <f t="shared" si="0"/>
        <v>7465974646</v>
      </c>
      <c r="AJ6" s="52">
        <f t="shared" si="0"/>
        <v>7115508024</v>
      </c>
      <c r="AK6" s="52">
        <f t="shared" si="0"/>
        <v>6167948401</v>
      </c>
      <c r="AL6" s="52">
        <f t="shared" si="0"/>
        <v>5334141026</v>
      </c>
      <c r="AM6" s="52">
        <f t="shared" si="0"/>
        <v>4947628206</v>
      </c>
      <c r="AN6" s="52">
        <f t="shared" si="0"/>
        <v>4557057492</v>
      </c>
      <c r="AO6" s="52">
        <f t="shared" si="0"/>
        <v>4070098489</v>
      </c>
      <c r="AP6" s="52">
        <f t="shared" si="0"/>
        <v>3495128155</v>
      </c>
      <c r="AQ6" s="52">
        <f t="shared" si="0"/>
        <v>3141588026</v>
      </c>
      <c r="AR6" s="52">
        <f t="shared" si="0"/>
        <v>2815395687</v>
      </c>
      <c r="AS6" s="52">
        <f t="shared" si="0"/>
        <v>2434952629</v>
      </c>
      <c r="AT6" s="52">
        <f t="shared" si="0"/>
        <v>2104718322</v>
      </c>
      <c r="AU6" s="52">
        <f t="shared" si="0"/>
        <v>1894483733</v>
      </c>
      <c r="AV6" s="52">
        <v>1781689367</v>
      </c>
    </row>
    <row r="7" spans="1:48" s="2" customFormat="1" x14ac:dyDescent="0.2">
      <c r="A7" s="54" t="s">
        <v>6</v>
      </c>
      <c r="B7" s="52">
        <f t="shared" ref="B7:AU8" si="1">B25</f>
        <v>507500</v>
      </c>
      <c r="C7" s="52">
        <f t="shared" si="1"/>
        <v>991000</v>
      </c>
      <c r="D7" s="52">
        <f t="shared" si="1"/>
        <v>891000</v>
      </c>
      <c r="E7" s="52">
        <f t="shared" si="1"/>
        <v>1240500</v>
      </c>
      <c r="F7" s="52">
        <f t="shared" si="1"/>
        <v>1761000</v>
      </c>
      <c r="G7" s="52">
        <f t="shared" si="1"/>
        <v>2106000</v>
      </c>
      <c r="H7" s="52">
        <f t="shared" si="1"/>
        <v>2214000</v>
      </c>
      <c r="I7" s="52">
        <f t="shared" si="1"/>
        <v>2846000</v>
      </c>
      <c r="J7" s="52">
        <f t="shared" si="1"/>
        <v>2808000</v>
      </c>
      <c r="K7" s="52">
        <f t="shared" si="1"/>
        <v>5998500</v>
      </c>
      <c r="L7" s="52">
        <f t="shared" si="1"/>
        <v>11698969</v>
      </c>
      <c r="M7" s="52">
        <f t="shared" si="1"/>
        <v>18147500</v>
      </c>
      <c r="N7" s="52">
        <f t="shared" si="1"/>
        <v>21274000</v>
      </c>
      <c r="O7" s="52">
        <f t="shared" si="1"/>
        <v>24246331</v>
      </c>
      <c r="P7" s="52">
        <f t="shared" si="1"/>
        <v>106193674</v>
      </c>
      <c r="Q7" s="52">
        <f t="shared" si="1"/>
        <v>117599803</v>
      </c>
      <c r="R7" s="52">
        <f t="shared" si="1"/>
        <v>131227450</v>
      </c>
      <c r="S7" s="52">
        <f t="shared" si="1"/>
        <v>138978980</v>
      </c>
      <c r="T7" s="52">
        <f t="shared" si="1"/>
        <v>160903445</v>
      </c>
      <c r="U7" s="52">
        <f t="shared" si="1"/>
        <v>181076991</v>
      </c>
      <c r="V7" s="52">
        <f t="shared" si="1"/>
        <v>222661591</v>
      </c>
      <c r="W7" s="52">
        <f t="shared" si="1"/>
        <v>256665890</v>
      </c>
      <c r="X7" s="52">
        <f t="shared" si="1"/>
        <v>281799053</v>
      </c>
      <c r="Y7" s="52">
        <f t="shared" si="1"/>
        <v>325628242</v>
      </c>
      <c r="Z7" s="52">
        <f t="shared" si="1"/>
        <v>359110500</v>
      </c>
      <c r="AA7" s="52">
        <f t="shared" si="1"/>
        <v>400766500</v>
      </c>
      <c r="AB7" s="52">
        <f t="shared" si="1"/>
        <v>456753500</v>
      </c>
      <c r="AC7" s="52">
        <f t="shared" si="1"/>
        <v>526283000</v>
      </c>
      <c r="AD7" s="52">
        <f t="shared" si="1"/>
        <v>610693000</v>
      </c>
      <c r="AE7" s="52">
        <f t="shared" si="1"/>
        <v>767294500</v>
      </c>
      <c r="AF7" s="52">
        <f t="shared" si="1"/>
        <v>898358000</v>
      </c>
      <c r="AG7" s="52">
        <f t="shared" si="1"/>
        <v>998373500</v>
      </c>
      <c r="AH7" s="52">
        <f t="shared" si="1"/>
        <v>1014793500</v>
      </c>
      <c r="AI7" s="52">
        <f t="shared" si="1"/>
        <v>1063673000</v>
      </c>
      <c r="AJ7" s="52">
        <f t="shared" si="1"/>
        <v>1073210000</v>
      </c>
      <c r="AK7" s="52">
        <f t="shared" si="1"/>
        <v>944397500</v>
      </c>
      <c r="AL7" s="52">
        <f t="shared" si="1"/>
        <v>910822500</v>
      </c>
      <c r="AM7" s="52">
        <f t="shared" si="1"/>
        <v>882198500</v>
      </c>
      <c r="AN7" s="52">
        <f t="shared" si="1"/>
        <v>857604500</v>
      </c>
      <c r="AO7" s="52">
        <f t="shared" si="1"/>
        <v>813657000</v>
      </c>
      <c r="AP7" s="52">
        <f t="shared" si="1"/>
        <v>783969000</v>
      </c>
      <c r="AQ7" s="52">
        <f t="shared" si="1"/>
        <v>768776000</v>
      </c>
      <c r="AR7" s="52">
        <f t="shared" si="1"/>
        <v>815266000</v>
      </c>
      <c r="AS7" s="52">
        <f t="shared" si="1"/>
        <v>757387000</v>
      </c>
      <c r="AT7" s="52">
        <f t="shared" si="1"/>
        <v>730070000</v>
      </c>
      <c r="AU7" s="52">
        <f t="shared" si="1"/>
        <v>700307500</v>
      </c>
      <c r="AV7" s="52">
        <v>676823000</v>
      </c>
    </row>
    <row r="8" spans="1:48" s="2" customFormat="1" x14ac:dyDescent="0.2">
      <c r="A8" s="54" t="s">
        <v>7</v>
      </c>
      <c r="B8" s="52">
        <f t="shared" si="1"/>
        <v>515763</v>
      </c>
      <c r="C8" s="52">
        <f t="shared" si="1"/>
        <v>-1265578</v>
      </c>
      <c r="D8" s="52">
        <f t="shared" si="1"/>
        <v>-2006229</v>
      </c>
      <c r="E8" s="52">
        <f t="shared" si="1"/>
        <v>-123689</v>
      </c>
      <c r="F8" s="52">
        <f t="shared" si="1"/>
        <v>141455</v>
      </c>
      <c r="G8" s="52">
        <f t="shared" si="1"/>
        <v>1323534</v>
      </c>
      <c r="H8" s="52">
        <f t="shared" si="1"/>
        <v>2733427</v>
      </c>
      <c r="I8" s="52">
        <f t="shared" si="1"/>
        <v>1402385</v>
      </c>
      <c r="J8" s="52">
        <f t="shared" si="1"/>
        <v>7720944</v>
      </c>
      <c r="K8" s="52">
        <f t="shared" si="1"/>
        <v>4912474</v>
      </c>
      <c r="L8" s="52">
        <f t="shared" si="1"/>
        <v>6701831</v>
      </c>
      <c r="M8" s="52">
        <f t="shared" si="1"/>
        <v>5661889</v>
      </c>
      <c r="N8" s="52">
        <f t="shared" si="1"/>
        <v>6716639</v>
      </c>
      <c r="O8" s="52">
        <f t="shared" si="1"/>
        <v>6275288</v>
      </c>
      <c r="P8" s="52">
        <f t="shared" si="1"/>
        <v>8057146</v>
      </c>
      <c r="Q8" s="52">
        <f t="shared" si="1"/>
        <v>14486841</v>
      </c>
      <c r="R8" s="52">
        <f t="shared" si="1"/>
        <v>15264177</v>
      </c>
      <c r="S8" s="52">
        <f t="shared" si="1"/>
        <v>18943976</v>
      </c>
      <c r="T8" s="52">
        <f t="shared" si="1"/>
        <v>17100574</v>
      </c>
      <c r="U8" s="52">
        <f t="shared" si="1"/>
        <v>40039560</v>
      </c>
      <c r="V8" s="52">
        <f t="shared" si="1"/>
        <v>58683367</v>
      </c>
      <c r="W8" s="52">
        <f t="shared" si="1"/>
        <v>68707809</v>
      </c>
      <c r="X8" s="52">
        <f t="shared" si="1"/>
        <v>107187895</v>
      </c>
      <c r="Y8" s="52">
        <f t="shared" si="1"/>
        <v>132176267</v>
      </c>
      <c r="Z8" s="52">
        <f t="shared" si="1"/>
        <v>181046564</v>
      </c>
      <c r="AA8" s="52">
        <f t="shared" si="1"/>
        <v>223636189</v>
      </c>
      <c r="AB8" s="52">
        <f t="shared" si="1"/>
        <v>262129230</v>
      </c>
      <c r="AC8" s="52">
        <f t="shared" si="1"/>
        <v>293222673</v>
      </c>
      <c r="AD8" s="52">
        <f t="shared" si="1"/>
        <v>321397928</v>
      </c>
      <c r="AE8" s="52">
        <f t="shared" si="1"/>
        <v>379443377</v>
      </c>
      <c r="AF8" s="52">
        <f t="shared" si="1"/>
        <v>441066319</v>
      </c>
      <c r="AG8" s="52">
        <f t="shared" si="1"/>
        <v>458929196</v>
      </c>
      <c r="AH8" s="52">
        <f t="shared" si="1"/>
        <v>485045125</v>
      </c>
      <c r="AI8" s="52">
        <f t="shared" si="1"/>
        <v>532630554</v>
      </c>
      <c r="AJ8" s="52">
        <f t="shared" si="1"/>
        <v>536411203</v>
      </c>
      <c r="AK8" s="52">
        <f t="shared" si="1"/>
        <v>596461234</v>
      </c>
      <c r="AL8" s="52">
        <f t="shared" si="1"/>
        <v>606555044</v>
      </c>
      <c r="AM8" s="52">
        <f t="shared" si="1"/>
        <v>362713163</v>
      </c>
      <c r="AN8" s="52">
        <f t="shared" si="1"/>
        <v>599959685</v>
      </c>
      <c r="AO8" s="52">
        <f t="shared" si="1"/>
        <v>623020770</v>
      </c>
      <c r="AP8" s="52">
        <f t="shared" si="1"/>
        <v>634730392</v>
      </c>
      <c r="AQ8" s="52">
        <f t="shared" si="1"/>
        <v>681419859</v>
      </c>
      <c r="AR8" s="52">
        <f t="shared" si="1"/>
        <v>709618038</v>
      </c>
      <c r="AS8" s="52">
        <f t="shared" si="1"/>
        <v>721941240</v>
      </c>
      <c r="AT8" s="52">
        <f t="shared" si="1"/>
        <v>741193289</v>
      </c>
      <c r="AU8" s="52">
        <f t="shared" si="1"/>
        <v>780542358</v>
      </c>
      <c r="AV8" s="52">
        <v>794524901</v>
      </c>
    </row>
    <row r="9" spans="1:48" s="2" customFormat="1" x14ac:dyDescent="0.2">
      <c r="A9" s="54" t="s">
        <v>8</v>
      </c>
      <c r="B9" s="52">
        <f t="shared" ref="B9:AV9" si="2">B7+B8</f>
        <v>1023263</v>
      </c>
      <c r="C9" s="52">
        <f t="shared" si="2"/>
        <v>-274578</v>
      </c>
      <c r="D9" s="52">
        <f t="shared" si="2"/>
        <v>-1115229</v>
      </c>
      <c r="E9" s="52">
        <f t="shared" si="2"/>
        <v>1116811</v>
      </c>
      <c r="F9" s="52">
        <f t="shared" si="2"/>
        <v>1902455</v>
      </c>
      <c r="G9" s="52">
        <f t="shared" si="2"/>
        <v>3429534</v>
      </c>
      <c r="H9" s="52">
        <f t="shared" si="2"/>
        <v>4947427</v>
      </c>
      <c r="I9" s="52">
        <f t="shared" si="2"/>
        <v>4248385</v>
      </c>
      <c r="J9" s="52">
        <f t="shared" si="2"/>
        <v>10528944</v>
      </c>
      <c r="K9" s="52">
        <f t="shared" si="2"/>
        <v>10910974</v>
      </c>
      <c r="L9" s="52">
        <f t="shared" si="2"/>
        <v>18400800</v>
      </c>
      <c r="M9" s="52">
        <f t="shared" si="2"/>
        <v>23809389</v>
      </c>
      <c r="N9" s="52">
        <f t="shared" si="2"/>
        <v>27990639</v>
      </c>
      <c r="O9" s="52">
        <f t="shared" si="2"/>
        <v>30521619</v>
      </c>
      <c r="P9" s="52">
        <f t="shared" si="2"/>
        <v>114250820</v>
      </c>
      <c r="Q9" s="52">
        <f t="shared" si="2"/>
        <v>132086644</v>
      </c>
      <c r="R9" s="52">
        <f t="shared" si="2"/>
        <v>146491627</v>
      </c>
      <c r="S9" s="52">
        <f t="shared" si="2"/>
        <v>157922956</v>
      </c>
      <c r="T9" s="52">
        <f t="shared" si="2"/>
        <v>178004019</v>
      </c>
      <c r="U9" s="52">
        <f t="shared" si="2"/>
        <v>221116551</v>
      </c>
      <c r="V9" s="52">
        <f t="shared" si="2"/>
        <v>281344958</v>
      </c>
      <c r="W9" s="52">
        <f t="shared" si="2"/>
        <v>325373699</v>
      </c>
      <c r="X9" s="52">
        <f t="shared" si="2"/>
        <v>388986948</v>
      </c>
      <c r="Y9" s="52">
        <f t="shared" si="2"/>
        <v>457804509</v>
      </c>
      <c r="Z9" s="52">
        <f t="shared" si="2"/>
        <v>540157064</v>
      </c>
      <c r="AA9" s="52">
        <f t="shared" si="2"/>
        <v>624402689</v>
      </c>
      <c r="AB9" s="52">
        <f t="shared" si="2"/>
        <v>718882730</v>
      </c>
      <c r="AC9" s="52">
        <f t="shared" si="2"/>
        <v>819505673</v>
      </c>
      <c r="AD9" s="52">
        <f t="shared" si="2"/>
        <v>932090928</v>
      </c>
      <c r="AE9" s="52">
        <f t="shared" si="2"/>
        <v>1146737877</v>
      </c>
      <c r="AF9" s="52">
        <f t="shared" si="2"/>
        <v>1339424319</v>
      </c>
      <c r="AG9" s="52">
        <f t="shared" si="2"/>
        <v>1457302696</v>
      </c>
      <c r="AH9" s="52">
        <f t="shared" si="2"/>
        <v>1499838625</v>
      </c>
      <c r="AI9" s="52">
        <f t="shared" si="2"/>
        <v>1596303554</v>
      </c>
      <c r="AJ9" s="52">
        <f t="shared" si="2"/>
        <v>1609621203</v>
      </c>
      <c r="AK9" s="52">
        <f t="shared" si="2"/>
        <v>1540858734</v>
      </c>
      <c r="AL9" s="52">
        <f t="shared" si="2"/>
        <v>1517377544</v>
      </c>
      <c r="AM9" s="52">
        <f t="shared" si="2"/>
        <v>1244911663</v>
      </c>
      <c r="AN9" s="52">
        <f t="shared" si="2"/>
        <v>1457564185</v>
      </c>
      <c r="AO9" s="52">
        <f t="shared" si="2"/>
        <v>1436677770</v>
      </c>
      <c r="AP9" s="52">
        <f t="shared" si="2"/>
        <v>1418699392</v>
      </c>
      <c r="AQ9" s="52">
        <f t="shared" si="2"/>
        <v>1450195859</v>
      </c>
      <c r="AR9" s="52">
        <f t="shared" si="2"/>
        <v>1524884038</v>
      </c>
      <c r="AS9" s="52">
        <f t="shared" si="2"/>
        <v>1479328240</v>
      </c>
      <c r="AT9" s="52">
        <f t="shared" si="2"/>
        <v>1471263289</v>
      </c>
      <c r="AU9" s="52">
        <f t="shared" si="2"/>
        <v>1480849858</v>
      </c>
      <c r="AV9" s="52">
        <f t="shared" si="2"/>
        <v>1471347901</v>
      </c>
    </row>
    <row r="10" spans="1:48" s="3" customFormat="1" x14ac:dyDescent="0.2">
      <c r="A10" s="55" t="s">
        <v>9</v>
      </c>
      <c r="B10" s="55">
        <f t="shared" ref="B10:AV10" si="3">B9/B28</f>
        <v>1.6423906515974723E-2</v>
      </c>
      <c r="C10" s="55">
        <f t="shared" si="3"/>
        <v>-6.9009609139072088E-3</v>
      </c>
      <c r="D10" s="55">
        <f t="shared" si="3"/>
        <v>-2.4787505786082898E-2</v>
      </c>
      <c r="E10" s="55">
        <f t="shared" si="3"/>
        <v>1.8998053092979483E-2</v>
      </c>
      <c r="F10" s="55">
        <f t="shared" si="3"/>
        <v>1.7276261917304327E-2</v>
      </c>
      <c r="G10" s="55">
        <f t="shared" si="3"/>
        <v>3.6060776826917371E-2</v>
      </c>
      <c r="H10" s="55">
        <f t="shared" si="3"/>
        <v>5.4911259487093633E-2</v>
      </c>
      <c r="I10" s="55">
        <f t="shared" si="3"/>
        <v>2.1278857649278973E-2</v>
      </c>
      <c r="J10" s="55">
        <f t="shared" si="3"/>
        <v>3.5215063674953223E-2</v>
      </c>
      <c r="K10" s="55">
        <f t="shared" si="3"/>
        <v>2.5272973900277541E-2</v>
      </c>
      <c r="L10" s="55">
        <f t="shared" si="3"/>
        <v>3.5481765741487453E-2</v>
      </c>
      <c r="M10" s="55">
        <f t="shared" si="3"/>
        <v>3.475676644678017E-2</v>
      </c>
      <c r="N10" s="55">
        <f t="shared" si="3"/>
        <v>3.9071199160846296E-2</v>
      </c>
      <c r="O10" s="55">
        <f t="shared" si="3"/>
        <v>4.6318798495946917E-2</v>
      </c>
      <c r="P10" s="55">
        <f t="shared" si="3"/>
        <v>0.10760971516065418</v>
      </c>
      <c r="Q10" s="55">
        <f t="shared" si="3"/>
        <v>0.10651675285661276</v>
      </c>
      <c r="R10" s="55">
        <f t="shared" si="3"/>
        <v>9.9466871164498219E-2</v>
      </c>
      <c r="S10" s="55">
        <f t="shared" si="3"/>
        <v>9.5699724068415384E-2</v>
      </c>
      <c r="T10" s="55">
        <f t="shared" si="3"/>
        <v>8.9949443889229444E-2</v>
      </c>
      <c r="U10" s="55">
        <f t="shared" si="3"/>
        <v>9.4629724680154945E-2</v>
      </c>
      <c r="V10" s="55">
        <f t="shared" si="3"/>
        <v>0.10470933525864903</v>
      </c>
      <c r="W10" s="55">
        <f t="shared" si="3"/>
        <v>0.1035601044410097</v>
      </c>
      <c r="X10" s="55">
        <f t="shared" si="3"/>
        <v>0.119898379773071</v>
      </c>
      <c r="Y10" s="55">
        <f t="shared" si="3"/>
        <v>0.122304235654006</v>
      </c>
      <c r="Z10" s="55">
        <f t="shared" si="3"/>
        <v>0.12891276838115268</v>
      </c>
      <c r="AA10" s="55">
        <f t="shared" si="3"/>
        <v>0.14445632522940233</v>
      </c>
      <c r="AB10" s="55">
        <f t="shared" si="3"/>
        <v>0.14923067332847262</v>
      </c>
      <c r="AC10" s="55">
        <f t="shared" si="3"/>
        <v>0.14537754826772831</v>
      </c>
      <c r="AD10" s="55">
        <f t="shared" si="3"/>
        <v>0.14711266296911871</v>
      </c>
      <c r="AE10" s="55">
        <f t="shared" si="3"/>
        <v>0.15891748520775734</v>
      </c>
      <c r="AF10" s="55">
        <f t="shared" si="3"/>
        <v>0.17174933403471851</v>
      </c>
      <c r="AG10" s="55">
        <f t="shared" si="3"/>
        <v>0.17810153989899588</v>
      </c>
      <c r="AH10" s="55">
        <f t="shared" si="3"/>
        <v>0.18636261092237374</v>
      </c>
      <c r="AI10" s="55">
        <f t="shared" si="3"/>
        <v>0.20918813293609784</v>
      </c>
      <c r="AJ10" s="55">
        <f t="shared" si="3"/>
        <v>0.220498708197608</v>
      </c>
      <c r="AK10" s="55">
        <f t="shared" si="3"/>
        <v>0.23332878576590763</v>
      </c>
      <c r="AL10" s="55">
        <f t="shared" si="3"/>
        <v>0.2464448251122853</v>
      </c>
      <c r="AM10" s="55">
        <f t="shared" si="3"/>
        <v>0.22979808441195904</v>
      </c>
      <c r="AN10" s="55">
        <f t="shared" si="3"/>
        <v>0.27868694313667774</v>
      </c>
      <c r="AO10" s="55">
        <f t="shared" si="3"/>
        <v>0.30348184833269948</v>
      </c>
      <c r="AP10" s="55">
        <f t="shared" si="3"/>
        <v>0.34685240392425298</v>
      </c>
      <c r="AQ10" s="55">
        <f t="shared" si="3"/>
        <v>0.37872410471860662</v>
      </c>
      <c r="AR10" s="55">
        <f t="shared" si="3"/>
        <v>0.43898048008083762</v>
      </c>
      <c r="AS10" s="55">
        <f t="shared" si="3"/>
        <v>0.47100037936282013</v>
      </c>
      <c r="AT10" s="55">
        <f t="shared" si="3"/>
        <v>0.51686448465391122</v>
      </c>
      <c r="AU10" s="55">
        <f t="shared" si="3"/>
        <v>0.56631421677242944</v>
      </c>
      <c r="AV10" s="55">
        <f t="shared" si="3"/>
        <v>0.59020508436698982</v>
      </c>
    </row>
    <row r="11" spans="1:48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</row>
    <row r="12" spans="1:48" x14ac:dyDescent="0.2">
      <c r="A12" s="51" t="s">
        <v>17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</row>
    <row r="13" spans="1:48" s="2" customFormat="1" x14ac:dyDescent="0.2">
      <c r="A13" s="54" t="s">
        <v>10</v>
      </c>
      <c r="B13" s="56">
        <v>62754616</v>
      </c>
      <c r="C13" s="56">
        <v>85231000</v>
      </c>
      <c r="D13" s="56">
        <v>28349910</v>
      </c>
      <c r="E13" s="56">
        <v>56295235</v>
      </c>
      <c r="F13" s="56">
        <v>239120000</v>
      </c>
      <c r="G13" s="56">
        <v>93026467</v>
      </c>
      <c r="H13" s="56">
        <v>95361748</v>
      </c>
      <c r="I13" s="56">
        <v>141283534</v>
      </c>
      <c r="J13" s="56">
        <v>223481000</v>
      </c>
      <c r="K13" s="56">
        <v>345195000</v>
      </c>
      <c r="L13" s="56">
        <v>318390000</v>
      </c>
      <c r="M13" s="56">
        <v>425057000</v>
      </c>
      <c r="N13" s="56">
        <v>378837000</v>
      </c>
      <c r="O13" s="56">
        <v>391500382</v>
      </c>
      <c r="P13" s="56">
        <v>939810499</v>
      </c>
      <c r="Q13" s="56">
        <v>844576712</v>
      </c>
      <c r="R13" s="56">
        <v>910664379</v>
      </c>
      <c r="S13" s="56">
        <v>1152062785</v>
      </c>
      <c r="T13" s="56">
        <v>1174217244</v>
      </c>
      <c r="U13" s="56">
        <v>1468917904</v>
      </c>
      <c r="V13" s="56">
        <v>1568370895</v>
      </c>
      <c r="W13" s="56">
        <v>1685406692</v>
      </c>
      <c r="X13" s="56">
        <v>1740071385</v>
      </c>
      <c r="Y13" s="56">
        <v>2030239846</v>
      </c>
      <c r="Z13" s="56">
        <v>1894548868</v>
      </c>
      <c r="AA13" s="56">
        <v>1598050707</v>
      </c>
      <c r="AB13" s="56">
        <v>2185619224</v>
      </c>
      <c r="AC13" s="56">
        <v>2587056542</v>
      </c>
      <c r="AD13" s="56">
        <v>2781119659</v>
      </c>
      <c r="AE13" s="56">
        <v>3188676260</v>
      </c>
      <c r="AF13" s="56">
        <v>3104854114</v>
      </c>
      <c r="AG13" s="56">
        <v>2937431321</v>
      </c>
      <c r="AH13" s="56">
        <v>2530354359</v>
      </c>
      <c r="AI13" s="56">
        <v>2081610000</v>
      </c>
      <c r="AJ13" s="56">
        <v>2045613000</v>
      </c>
      <c r="AK13" s="56">
        <v>1218685479</v>
      </c>
      <c r="AL13" s="56">
        <v>1258571171</v>
      </c>
      <c r="AM13" s="56">
        <v>1350180416</v>
      </c>
      <c r="AN13" s="56">
        <v>1237490000</v>
      </c>
      <c r="AO13" s="56">
        <v>910602992</v>
      </c>
      <c r="AP13" s="56">
        <v>654310000</v>
      </c>
      <c r="AQ13" s="56">
        <v>752660000</v>
      </c>
      <c r="AR13" s="56">
        <v>639510000</v>
      </c>
      <c r="AS13" s="56">
        <v>508320000</v>
      </c>
      <c r="AT13" s="56">
        <v>425050000</v>
      </c>
      <c r="AU13" s="56">
        <v>508740000</v>
      </c>
      <c r="AV13" s="56">
        <v>486071000</v>
      </c>
    </row>
    <row r="14" spans="1:48" s="2" customFormat="1" x14ac:dyDescent="0.2">
      <c r="A14" s="54" t="s">
        <v>2</v>
      </c>
      <c r="B14" s="57">
        <v>56467806</v>
      </c>
      <c r="C14" s="57">
        <v>27852749</v>
      </c>
      <c r="D14" s="57">
        <v>38742267</v>
      </c>
      <c r="E14" s="57">
        <v>39729896</v>
      </c>
      <c r="F14" s="57">
        <v>68839790</v>
      </c>
      <c r="G14" s="57">
        <v>72944271</v>
      </c>
      <c r="H14" s="57">
        <v>77292930</v>
      </c>
      <c r="I14" s="57">
        <v>137603039</v>
      </c>
      <c r="J14" s="57">
        <v>210117433</v>
      </c>
      <c r="K14" s="57">
        <v>340906414</v>
      </c>
      <c r="L14" s="57">
        <v>462114153</v>
      </c>
      <c r="M14" s="57">
        <v>605317992</v>
      </c>
      <c r="N14" s="57">
        <v>610811443</v>
      </c>
      <c r="O14" s="57">
        <v>548117784</v>
      </c>
      <c r="P14" s="57">
        <v>977261801</v>
      </c>
      <c r="Q14" s="57">
        <v>1148075293</v>
      </c>
      <c r="R14" s="57">
        <v>1336722065</v>
      </c>
      <c r="S14" s="57">
        <v>1574665736</v>
      </c>
      <c r="T14" s="57">
        <v>1909467695</v>
      </c>
      <c r="U14" s="57">
        <v>2233860907</v>
      </c>
      <c r="V14" s="57">
        <v>2564628088</v>
      </c>
      <c r="W14" s="57">
        <v>2932720782</v>
      </c>
      <c r="X14" s="57">
        <v>3060330824</v>
      </c>
      <c r="Y14" s="57">
        <v>3581582216</v>
      </c>
      <c r="Z14" s="57">
        <v>4003922329</v>
      </c>
      <c r="AA14" s="57">
        <v>4102242138</v>
      </c>
      <c r="AB14" s="57">
        <v>4585975330</v>
      </c>
      <c r="AC14" s="57">
        <v>5415534204</v>
      </c>
      <c r="AD14" s="57">
        <v>6058496101</v>
      </c>
      <c r="AE14" s="57">
        <v>6925468079</v>
      </c>
      <c r="AF14" s="57">
        <v>7566202310</v>
      </c>
      <c r="AG14" s="57">
        <v>7970472842</v>
      </c>
      <c r="AH14" s="57">
        <v>7839237083</v>
      </c>
      <c r="AI14" s="57">
        <v>7465974646</v>
      </c>
      <c r="AJ14" s="57">
        <v>7115508024</v>
      </c>
      <c r="AK14" s="57">
        <v>6167948401</v>
      </c>
      <c r="AL14" s="57">
        <v>5334141026</v>
      </c>
      <c r="AM14" s="57">
        <v>4947628206</v>
      </c>
      <c r="AN14" s="57">
        <v>4557057492</v>
      </c>
      <c r="AO14" s="57">
        <v>4070098489</v>
      </c>
      <c r="AP14" s="57">
        <v>3495128155</v>
      </c>
      <c r="AQ14" s="57">
        <v>3141588026</v>
      </c>
      <c r="AR14" s="57">
        <v>2815395687</v>
      </c>
      <c r="AS14" s="57">
        <v>2434952629</v>
      </c>
      <c r="AT14" s="57">
        <v>2104718322</v>
      </c>
      <c r="AU14" s="57">
        <v>1894483733</v>
      </c>
      <c r="AV14" s="57">
        <f>AV6</f>
        <v>1781689367</v>
      </c>
    </row>
    <row r="15" spans="1:48" s="2" customFormat="1" x14ac:dyDescent="0.2">
      <c r="A15" s="54" t="s">
        <v>12</v>
      </c>
      <c r="B15" s="57">
        <v>7255976</v>
      </c>
      <c r="C15" s="57">
        <v>6574610</v>
      </c>
      <c r="D15" s="57">
        <v>3006901</v>
      </c>
      <c r="E15" s="57">
        <v>6306032</v>
      </c>
      <c r="F15" s="57">
        <v>8719850</v>
      </c>
      <c r="G15" s="57">
        <v>11171727</v>
      </c>
      <c r="H15" s="57">
        <v>10589557</v>
      </c>
      <c r="I15" s="57">
        <v>193085691</v>
      </c>
      <c r="J15" s="57">
        <v>30780421</v>
      </c>
      <c r="K15" s="57">
        <v>56639919</v>
      </c>
      <c r="L15" s="57">
        <v>71164229</v>
      </c>
      <c r="M15" s="57">
        <v>82187558</v>
      </c>
      <c r="N15" s="57">
        <v>95752432</v>
      </c>
      <c r="O15" s="57">
        <v>88871087</v>
      </c>
      <c r="P15" s="57">
        <v>97514819</v>
      </c>
      <c r="Q15" s="57">
        <v>123132847</v>
      </c>
      <c r="R15" s="57">
        <v>146157789</v>
      </c>
      <c r="S15" s="57">
        <v>182082762</v>
      </c>
      <c r="T15" s="57">
        <v>297378698</v>
      </c>
      <c r="U15" s="57">
        <v>262035415</v>
      </c>
      <c r="V15" s="57">
        <v>375216794</v>
      </c>
      <c r="W15" s="57">
        <v>392188233</v>
      </c>
      <c r="X15" s="57">
        <v>569733119</v>
      </c>
      <c r="Y15" s="57">
        <v>486907275</v>
      </c>
      <c r="Z15" s="57">
        <v>456579516</v>
      </c>
      <c r="AA15" s="57">
        <v>486649004</v>
      </c>
      <c r="AB15" s="57">
        <v>474055567</v>
      </c>
      <c r="AC15" s="57">
        <v>522228623</v>
      </c>
      <c r="AD15" s="57">
        <v>590369152</v>
      </c>
      <c r="AE15" s="57">
        <v>670055889</v>
      </c>
      <c r="AF15" s="57">
        <v>787813714</v>
      </c>
      <c r="AG15" s="57">
        <v>755009734</v>
      </c>
      <c r="AH15" s="57">
        <v>777545180</v>
      </c>
      <c r="AI15" s="57">
        <v>738124837</v>
      </c>
      <c r="AJ15" s="57">
        <v>698803718</v>
      </c>
      <c r="AK15" s="57">
        <v>630322470</v>
      </c>
      <c r="AL15" s="57">
        <v>538293758</v>
      </c>
      <c r="AM15" s="57">
        <v>481797500</v>
      </c>
      <c r="AN15" s="57">
        <v>440582048</v>
      </c>
      <c r="AO15" s="57">
        <v>399485427</v>
      </c>
      <c r="AP15" s="57">
        <v>340271786</v>
      </c>
      <c r="AQ15" s="57">
        <v>316029895</v>
      </c>
      <c r="AR15" s="57">
        <v>267763259</v>
      </c>
      <c r="AS15" s="57">
        <v>233618910</v>
      </c>
      <c r="AT15" s="57">
        <v>203047876</v>
      </c>
      <c r="AU15" s="57">
        <v>177008417</v>
      </c>
      <c r="AV15" s="57">
        <v>166815000</v>
      </c>
    </row>
    <row r="16" spans="1:48" s="2" customFormat="1" x14ac:dyDescent="0.2">
      <c r="A16" s="54" t="s">
        <v>13</v>
      </c>
      <c r="B16" s="57">
        <v>2464005</v>
      </c>
      <c r="C16" s="57"/>
      <c r="D16" s="57">
        <v>3599700</v>
      </c>
      <c r="E16" s="57">
        <v>1960138</v>
      </c>
      <c r="F16" s="57">
        <v>2362378</v>
      </c>
      <c r="G16" s="57">
        <v>2768113</v>
      </c>
      <c r="H16" s="57">
        <v>3084096</v>
      </c>
      <c r="I16" s="57">
        <v>4983794</v>
      </c>
      <c r="J16" s="57">
        <v>5978636</v>
      </c>
      <c r="K16" s="57">
        <v>13416358</v>
      </c>
      <c r="L16" s="57">
        <v>18460711</v>
      </c>
      <c r="M16" s="57">
        <v>20804501</v>
      </c>
      <c r="N16" s="57">
        <v>25382421</v>
      </c>
      <c r="O16" s="57">
        <v>25360098</v>
      </c>
      <c r="P16" s="57">
        <v>30743961</v>
      </c>
      <c r="Q16" s="57">
        <v>34674792</v>
      </c>
      <c r="R16" s="57">
        <v>37655007</v>
      </c>
      <c r="S16" s="57">
        <v>48901308</v>
      </c>
      <c r="T16" s="57">
        <v>48908220</v>
      </c>
      <c r="U16" s="57">
        <v>59840557</v>
      </c>
      <c r="V16" s="57">
        <v>69855264</v>
      </c>
      <c r="W16" s="57">
        <v>87999130</v>
      </c>
      <c r="X16" s="57">
        <v>103710403</v>
      </c>
      <c r="Y16" s="57">
        <v>115880924</v>
      </c>
      <c r="Z16" s="57">
        <v>125507729</v>
      </c>
      <c r="AA16" s="57">
        <v>144638627</v>
      </c>
      <c r="AB16" s="57">
        <v>152360708</v>
      </c>
      <c r="AC16" s="57">
        <v>179780895</v>
      </c>
      <c r="AD16" s="57">
        <v>231178798</v>
      </c>
      <c r="AE16" s="57">
        <v>235055072</v>
      </c>
      <c r="AF16" s="57">
        <v>278583513</v>
      </c>
      <c r="AG16" s="57">
        <v>275376620</v>
      </c>
      <c r="AH16" s="57">
        <v>283684675</v>
      </c>
      <c r="AI16" s="57">
        <v>271788416</v>
      </c>
      <c r="AJ16" s="57">
        <v>260885508</v>
      </c>
      <c r="AK16" s="57">
        <v>226942603</v>
      </c>
      <c r="AL16" s="57">
        <v>230083276</v>
      </c>
      <c r="AM16" s="57">
        <v>217032294</v>
      </c>
      <c r="AN16" s="57">
        <v>232015326</v>
      </c>
      <c r="AO16" s="57">
        <v>189331486</v>
      </c>
      <c r="AP16" s="57">
        <v>168563499</v>
      </c>
      <c r="AQ16" s="57">
        <v>116167400</v>
      </c>
      <c r="AR16" s="57">
        <v>95719768</v>
      </c>
      <c r="AS16" s="57">
        <v>99133333</v>
      </c>
      <c r="AT16" s="57">
        <v>86623064</v>
      </c>
      <c r="AU16" s="57">
        <v>95316575</v>
      </c>
      <c r="AV16" s="57">
        <v>95403613</v>
      </c>
    </row>
    <row r="17" spans="1:48" s="2" customFormat="1" x14ac:dyDescent="0.2">
      <c r="A17" s="54" t="s">
        <v>14</v>
      </c>
      <c r="B17" s="57">
        <v>740924</v>
      </c>
      <c r="C17" s="57"/>
      <c r="D17" s="57">
        <v>849261</v>
      </c>
      <c r="E17" s="57">
        <v>389338</v>
      </c>
      <c r="F17" s="57">
        <v>278100</v>
      </c>
      <c r="G17" s="57">
        <v>406041</v>
      </c>
      <c r="H17" s="57">
        <v>589011</v>
      </c>
      <c r="I17" s="57">
        <v>621398</v>
      </c>
      <c r="J17" s="57">
        <v>4478531</v>
      </c>
      <c r="K17" s="57">
        <v>16775794</v>
      </c>
      <c r="L17" s="57">
        <v>19823590</v>
      </c>
      <c r="M17" s="57">
        <v>28462981</v>
      </c>
      <c r="N17" s="57">
        <v>31047935</v>
      </c>
      <c r="O17" s="57">
        <v>36165722</v>
      </c>
      <c r="P17" s="57">
        <v>34765904</v>
      </c>
      <c r="Q17" s="57">
        <v>42183924</v>
      </c>
      <c r="R17" s="57">
        <v>47615241</v>
      </c>
      <c r="S17" s="57">
        <v>41492738</v>
      </c>
      <c r="T17" s="57">
        <v>45718688</v>
      </c>
      <c r="U17" s="57">
        <v>59091919</v>
      </c>
      <c r="V17" s="57">
        <v>85486029</v>
      </c>
      <c r="W17" s="57">
        <v>121648396</v>
      </c>
      <c r="X17" s="57">
        <v>139748202</v>
      </c>
      <c r="Y17" s="57">
        <v>138611833</v>
      </c>
      <c r="Z17" s="57">
        <v>122237776</v>
      </c>
      <c r="AA17" s="57">
        <v>129175250</v>
      </c>
      <c r="AB17" s="57">
        <v>132973278</v>
      </c>
      <c r="AC17" s="57">
        <v>148708585</v>
      </c>
      <c r="AD17" s="57">
        <v>153363753</v>
      </c>
      <c r="AE17" s="57">
        <v>167309807</v>
      </c>
      <c r="AF17" s="57">
        <v>229087705</v>
      </c>
      <c r="AG17" s="57">
        <v>247554550</v>
      </c>
      <c r="AH17" s="57">
        <v>235470926</v>
      </c>
      <c r="AI17" s="57">
        <v>214162671</v>
      </c>
      <c r="AJ17" s="57">
        <v>251225450</v>
      </c>
      <c r="AK17" s="57">
        <v>176095868</v>
      </c>
      <c r="AL17" s="57">
        <v>162248961</v>
      </c>
      <c r="AM17" s="57">
        <v>127390084</v>
      </c>
      <c r="AN17" s="57">
        <v>105567619</v>
      </c>
      <c r="AO17" s="57">
        <v>97384997</v>
      </c>
      <c r="AP17" s="57">
        <v>99955530</v>
      </c>
      <c r="AQ17" s="57">
        <v>83594872</v>
      </c>
      <c r="AR17" s="57">
        <v>80300443</v>
      </c>
      <c r="AS17" s="57">
        <v>76444797</v>
      </c>
      <c r="AT17" s="57">
        <v>63771154</v>
      </c>
      <c r="AU17" s="57">
        <v>55563328</v>
      </c>
      <c r="AV17" s="57">
        <v>67279278</v>
      </c>
    </row>
    <row r="18" spans="1:48" s="2" customFormat="1" x14ac:dyDescent="0.2">
      <c r="A18" s="54" t="s">
        <v>15</v>
      </c>
      <c r="B18" s="57">
        <v>50565</v>
      </c>
      <c r="C18" s="57">
        <v>1577008</v>
      </c>
      <c r="D18" s="57">
        <v>-806196</v>
      </c>
      <c r="E18" s="57">
        <f>E19+2081581</f>
        <v>1767451</v>
      </c>
      <c r="F18" s="57">
        <f>F19+119963</f>
        <v>860115</v>
      </c>
      <c r="G18" s="57">
        <f>G19+97069-505018</f>
        <v>1030579</v>
      </c>
      <c r="H18" s="57">
        <f>H19+1431214-265824</f>
        <v>1332717</v>
      </c>
      <c r="I18" s="57">
        <f>I19+336117-2082378</f>
        <v>636589</v>
      </c>
      <c r="J18" s="57">
        <f>J19+717999-1491983</f>
        <v>6867812</v>
      </c>
      <c r="K18" s="57">
        <f>K19+937700-667977</f>
        <v>1271400</v>
      </c>
      <c r="L18" s="57">
        <f>L19+7775228-4722878</f>
        <v>2523975</v>
      </c>
      <c r="M18" s="57">
        <f>M19+5107719-196308</f>
        <v>4119152</v>
      </c>
      <c r="N18" s="57">
        <f>N19+3051418-528000</f>
        <v>4649625</v>
      </c>
      <c r="O18" s="57">
        <f>O19+5810437-579600</f>
        <v>2352233</v>
      </c>
      <c r="P18" s="57">
        <f>P19+7264928-264060</f>
        <v>9610240</v>
      </c>
      <c r="Q18" s="57">
        <v>15553213</v>
      </c>
      <c r="R18" s="57">
        <v>12025624</v>
      </c>
      <c r="S18" s="57">
        <v>7470023</v>
      </c>
      <c r="T18" s="57">
        <v>6738615</v>
      </c>
      <c r="U18" s="57">
        <v>33075192</v>
      </c>
      <c r="V18" s="57">
        <v>59821660</v>
      </c>
      <c r="W18" s="57">
        <v>36972362</v>
      </c>
      <c r="X18" s="57">
        <v>73789585</v>
      </c>
      <c r="Y18" s="57">
        <v>76028591</v>
      </c>
      <c r="Z18" s="57">
        <v>119815804</v>
      </c>
      <c r="AA18" s="57">
        <v>119775996</v>
      </c>
      <c r="AB18" s="57">
        <v>119477691</v>
      </c>
      <c r="AC18" s="57">
        <v>107343438</v>
      </c>
      <c r="AD18" s="57">
        <v>109847337</v>
      </c>
      <c r="AE18" s="57">
        <v>150689480</v>
      </c>
      <c r="AF18" s="57">
        <v>159023436</v>
      </c>
      <c r="AG18" s="57">
        <v>102779185</v>
      </c>
      <c r="AH18" s="57">
        <v>123176197</v>
      </c>
      <c r="AI18" s="57">
        <v>125374077</v>
      </c>
      <c r="AJ18" s="57">
        <v>65767712</v>
      </c>
      <c r="AK18" s="57">
        <v>120832336</v>
      </c>
      <c r="AL18" s="57">
        <v>58767807</v>
      </c>
      <c r="AM18" s="57">
        <v>60815871</v>
      </c>
      <c r="AN18" s="57">
        <v>43685204</v>
      </c>
      <c r="AO18" s="57">
        <v>59770697</v>
      </c>
      <c r="AP18" s="57">
        <v>24395105</v>
      </c>
      <c r="AQ18" s="57">
        <v>72875173</v>
      </c>
      <c r="AR18" s="57">
        <v>54100393</v>
      </c>
      <c r="AS18" s="57">
        <v>31360623</v>
      </c>
      <c r="AT18" s="57">
        <v>37268594</v>
      </c>
      <c r="AU18" s="57">
        <v>59680924</v>
      </c>
      <c r="AV18" s="57">
        <v>3904104</v>
      </c>
    </row>
    <row r="19" spans="1:48" s="2" customFormat="1" x14ac:dyDescent="0.2">
      <c r="A19" s="54" t="s">
        <v>137</v>
      </c>
      <c r="B19" s="57">
        <f>7255976-3978921-3204929</f>
        <v>72126</v>
      </c>
      <c r="C19" s="57">
        <f>6574610-3389045-5021945</f>
        <v>-1836380</v>
      </c>
      <c r="D19" s="57">
        <f>3006901-2617242-4448961</f>
        <v>-4059302</v>
      </c>
      <c r="E19" s="57">
        <f>6306032-4270686-2349476</f>
        <v>-314130</v>
      </c>
      <c r="F19" s="57">
        <f>8719850-5339220-2640478</f>
        <v>740152</v>
      </c>
      <c r="G19" s="57">
        <f>11171727-6559045-3174154</f>
        <v>1438528</v>
      </c>
      <c r="H19" s="57">
        <f>10589557-6749123-3673107</f>
        <v>167327</v>
      </c>
      <c r="I19" s="57">
        <f>18256921-10268879-5605192</f>
        <v>2382850</v>
      </c>
      <c r="J19" s="57">
        <f>30780421-12681458-10457167</f>
        <v>7641796</v>
      </c>
      <c r="K19" s="57">
        <f>56639919-25446090-30192152</f>
        <v>1001677</v>
      </c>
      <c r="L19" s="57">
        <f>71164229-32408303-39284301</f>
        <v>-528375</v>
      </c>
      <c r="M19" s="57">
        <f>82187558-34312335-48667482</f>
        <v>-792259</v>
      </c>
      <c r="N19" s="57">
        <f>95752432-37195869-56430356</f>
        <v>2126207</v>
      </c>
      <c r="O19" s="57">
        <f>88871087-30223871-61525820</f>
        <v>-2878604</v>
      </c>
      <c r="P19" s="57">
        <f>97514819-29395582-65509865</f>
        <v>2609372</v>
      </c>
      <c r="Q19" s="57">
        <v>10180822</v>
      </c>
      <c r="R19" s="57">
        <v>9451395</v>
      </c>
      <c r="S19" s="57">
        <v>-1446744</v>
      </c>
      <c r="T19" s="57">
        <v>5737693</v>
      </c>
      <c r="U19" s="57">
        <v>35156642</v>
      </c>
      <c r="V19" s="57">
        <v>60867758</v>
      </c>
      <c r="W19" s="57">
        <v>33727347</v>
      </c>
      <c r="X19" s="57">
        <v>69394481</v>
      </c>
      <c r="Y19" s="57">
        <v>69299278</v>
      </c>
      <c r="Z19" s="57">
        <v>119560429</v>
      </c>
      <c r="AA19" s="57">
        <v>112528679</v>
      </c>
      <c r="AB19" s="57">
        <v>113595072</v>
      </c>
      <c r="AC19" s="57">
        <v>105450199</v>
      </c>
      <c r="AD19" s="57">
        <v>108262305</v>
      </c>
      <c r="AE19" s="57">
        <v>140375857</v>
      </c>
      <c r="AF19" s="57">
        <v>152115256</v>
      </c>
      <c r="AG19" s="57">
        <v>96898236</v>
      </c>
      <c r="AH19" s="57">
        <v>118107210</v>
      </c>
      <c r="AI19" s="57">
        <v>114240307</v>
      </c>
      <c r="AJ19" s="57">
        <v>63067175</v>
      </c>
      <c r="AK19" s="57">
        <v>117620495</v>
      </c>
      <c r="AL19" s="57">
        <v>47916539</v>
      </c>
      <c r="AM19" s="57">
        <v>47564492</v>
      </c>
      <c r="AN19" s="57">
        <v>24665844</v>
      </c>
      <c r="AO19" s="57">
        <v>41386856</v>
      </c>
      <c r="AP19" s="57">
        <v>10738272</v>
      </c>
      <c r="AQ19" s="57">
        <v>62087383</v>
      </c>
      <c r="AR19" s="57">
        <v>48006468</v>
      </c>
      <c r="AS19" s="57">
        <v>24579232</v>
      </c>
      <c r="AT19" s="57">
        <v>25899366</v>
      </c>
      <c r="AU19" s="57">
        <v>4478488</v>
      </c>
      <c r="AV19" s="57">
        <v>-14297605</v>
      </c>
    </row>
    <row r="20" spans="1:48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</row>
    <row r="21" spans="1:48" x14ac:dyDescent="0.2">
      <c r="A21" s="51" t="s">
        <v>18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</row>
    <row r="22" spans="1:48" s="2" customFormat="1" x14ac:dyDescent="0.2">
      <c r="A22" s="54" t="s">
        <v>19</v>
      </c>
      <c r="B22" s="52">
        <f t="shared" ref="B22:AV22" si="4">B14</f>
        <v>56467806</v>
      </c>
      <c r="C22" s="52">
        <f t="shared" si="4"/>
        <v>27852749</v>
      </c>
      <c r="D22" s="52">
        <f t="shared" si="4"/>
        <v>38742267</v>
      </c>
      <c r="E22" s="52">
        <f t="shared" si="4"/>
        <v>39729896</v>
      </c>
      <c r="F22" s="52">
        <f t="shared" si="4"/>
        <v>68839790</v>
      </c>
      <c r="G22" s="52">
        <f t="shared" si="4"/>
        <v>72944271</v>
      </c>
      <c r="H22" s="52">
        <f t="shared" si="4"/>
        <v>77292930</v>
      </c>
      <c r="I22" s="52">
        <f t="shared" si="4"/>
        <v>137603039</v>
      </c>
      <c r="J22" s="52">
        <f t="shared" si="4"/>
        <v>210117433</v>
      </c>
      <c r="K22" s="52">
        <f t="shared" si="4"/>
        <v>340906414</v>
      </c>
      <c r="L22" s="52">
        <f t="shared" si="4"/>
        <v>462114153</v>
      </c>
      <c r="M22" s="52">
        <f t="shared" si="4"/>
        <v>605317992</v>
      </c>
      <c r="N22" s="52">
        <f t="shared" si="4"/>
        <v>610811443</v>
      </c>
      <c r="O22" s="52">
        <f t="shared" si="4"/>
        <v>548117784</v>
      </c>
      <c r="P22" s="52">
        <f t="shared" si="4"/>
        <v>977261801</v>
      </c>
      <c r="Q22" s="52">
        <f t="shared" si="4"/>
        <v>1148075293</v>
      </c>
      <c r="R22" s="52">
        <f t="shared" si="4"/>
        <v>1336722065</v>
      </c>
      <c r="S22" s="52">
        <f t="shared" si="4"/>
        <v>1574665736</v>
      </c>
      <c r="T22" s="52">
        <f t="shared" si="4"/>
        <v>1909467695</v>
      </c>
      <c r="U22" s="52">
        <f t="shared" si="4"/>
        <v>2233860907</v>
      </c>
      <c r="V22" s="52">
        <f t="shared" si="4"/>
        <v>2564628088</v>
      </c>
      <c r="W22" s="52">
        <f t="shared" si="4"/>
        <v>2932720782</v>
      </c>
      <c r="X22" s="52">
        <f t="shared" si="4"/>
        <v>3060330824</v>
      </c>
      <c r="Y22" s="52">
        <f t="shared" si="4"/>
        <v>3581582216</v>
      </c>
      <c r="Z22" s="52">
        <f t="shared" si="4"/>
        <v>4003922329</v>
      </c>
      <c r="AA22" s="52">
        <f t="shared" si="4"/>
        <v>4102242138</v>
      </c>
      <c r="AB22" s="52">
        <f t="shared" si="4"/>
        <v>4585975330</v>
      </c>
      <c r="AC22" s="52">
        <f t="shared" si="4"/>
        <v>5415534204</v>
      </c>
      <c r="AD22" s="52">
        <f t="shared" si="4"/>
        <v>6058496101</v>
      </c>
      <c r="AE22" s="52">
        <f t="shared" si="4"/>
        <v>6925468079</v>
      </c>
      <c r="AF22" s="52">
        <f t="shared" si="4"/>
        <v>7566202310</v>
      </c>
      <c r="AG22" s="52">
        <f t="shared" si="4"/>
        <v>7970472842</v>
      </c>
      <c r="AH22" s="52">
        <f t="shared" si="4"/>
        <v>7839237083</v>
      </c>
      <c r="AI22" s="52">
        <f t="shared" si="4"/>
        <v>7465974646</v>
      </c>
      <c r="AJ22" s="52">
        <f t="shared" si="4"/>
        <v>7115508024</v>
      </c>
      <c r="AK22" s="52">
        <f t="shared" si="4"/>
        <v>6167948401</v>
      </c>
      <c r="AL22" s="52">
        <f t="shared" si="4"/>
        <v>5334141026</v>
      </c>
      <c r="AM22" s="52">
        <f t="shared" si="4"/>
        <v>4947628206</v>
      </c>
      <c r="AN22" s="52">
        <f t="shared" si="4"/>
        <v>4557057492</v>
      </c>
      <c r="AO22" s="52">
        <f t="shared" si="4"/>
        <v>4070098489</v>
      </c>
      <c r="AP22" s="52">
        <f t="shared" si="4"/>
        <v>3495128155</v>
      </c>
      <c r="AQ22" s="52">
        <f t="shared" si="4"/>
        <v>3141588026</v>
      </c>
      <c r="AR22" s="52">
        <f t="shared" si="4"/>
        <v>2815395687</v>
      </c>
      <c r="AS22" s="52">
        <f t="shared" si="4"/>
        <v>2434952629</v>
      </c>
      <c r="AT22" s="52">
        <f t="shared" si="4"/>
        <v>2104718322</v>
      </c>
      <c r="AU22" s="52">
        <f t="shared" si="4"/>
        <v>1894483733</v>
      </c>
      <c r="AV22" s="52">
        <f t="shared" si="4"/>
        <v>1781689367</v>
      </c>
    </row>
    <row r="23" spans="1:48" s="2" customFormat="1" x14ac:dyDescent="0.2">
      <c r="A23" s="54" t="s">
        <v>20</v>
      </c>
      <c r="B23" s="52">
        <f t="shared" ref="B23:AV23" si="5">B14</f>
        <v>56467806</v>
      </c>
      <c r="C23" s="52">
        <f t="shared" si="5"/>
        <v>27852749</v>
      </c>
      <c r="D23" s="52">
        <f t="shared" si="5"/>
        <v>38742267</v>
      </c>
      <c r="E23" s="52">
        <f t="shared" si="5"/>
        <v>39729896</v>
      </c>
      <c r="F23" s="52">
        <f t="shared" si="5"/>
        <v>68839790</v>
      </c>
      <c r="G23" s="52">
        <f t="shared" si="5"/>
        <v>72944271</v>
      </c>
      <c r="H23" s="52">
        <f t="shared" si="5"/>
        <v>77292930</v>
      </c>
      <c r="I23" s="52">
        <f t="shared" si="5"/>
        <v>137603039</v>
      </c>
      <c r="J23" s="52">
        <f t="shared" si="5"/>
        <v>210117433</v>
      </c>
      <c r="K23" s="52">
        <f t="shared" si="5"/>
        <v>340906414</v>
      </c>
      <c r="L23" s="52">
        <f t="shared" si="5"/>
        <v>462114153</v>
      </c>
      <c r="M23" s="52">
        <f t="shared" si="5"/>
        <v>605317992</v>
      </c>
      <c r="N23" s="52">
        <f t="shared" si="5"/>
        <v>610811443</v>
      </c>
      <c r="O23" s="52">
        <f t="shared" si="5"/>
        <v>548117784</v>
      </c>
      <c r="P23" s="52">
        <f t="shared" si="5"/>
        <v>977261801</v>
      </c>
      <c r="Q23" s="52">
        <f t="shared" si="5"/>
        <v>1148075293</v>
      </c>
      <c r="R23" s="52">
        <f t="shared" si="5"/>
        <v>1336722065</v>
      </c>
      <c r="S23" s="52">
        <f t="shared" si="5"/>
        <v>1574665736</v>
      </c>
      <c r="T23" s="52">
        <f t="shared" si="5"/>
        <v>1909467695</v>
      </c>
      <c r="U23" s="52">
        <f t="shared" si="5"/>
        <v>2233860907</v>
      </c>
      <c r="V23" s="52">
        <f t="shared" si="5"/>
        <v>2564628088</v>
      </c>
      <c r="W23" s="52">
        <f t="shared" si="5"/>
        <v>2932720782</v>
      </c>
      <c r="X23" s="52">
        <f t="shared" si="5"/>
        <v>3060330824</v>
      </c>
      <c r="Y23" s="52">
        <f t="shared" si="5"/>
        <v>3581582216</v>
      </c>
      <c r="Z23" s="52">
        <f t="shared" si="5"/>
        <v>4003922329</v>
      </c>
      <c r="AA23" s="52">
        <f t="shared" si="5"/>
        <v>4102242138</v>
      </c>
      <c r="AB23" s="52">
        <f t="shared" si="5"/>
        <v>4585975330</v>
      </c>
      <c r="AC23" s="52">
        <f t="shared" si="5"/>
        <v>5415534204</v>
      </c>
      <c r="AD23" s="52">
        <f t="shared" si="5"/>
        <v>6058496101</v>
      </c>
      <c r="AE23" s="52">
        <f t="shared" si="5"/>
        <v>6925468079</v>
      </c>
      <c r="AF23" s="52">
        <f t="shared" si="5"/>
        <v>7566202310</v>
      </c>
      <c r="AG23" s="52">
        <f t="shared" si="5"/>
        <v>7970472842</v>
      </c>
      <c r="AH23" s="52">
        <f t="shared" si="5"/>
        <v>7839237083</v>
      </c>
      <c r="AI23" s="52">
        <f t="shared" si="5"/>
        <v>7465974646</v>
      </c>
      <c r="AJ23" s="52">
        <f t="shared" si="5"/>
        <v>7115508024</v>
      </c>
      <c r="AK23" s="52">
        <f t="shared" si="5"/>
        <v>6167948401</v>
      </c>
      <c r="AL23" s="52">
        <f t="shared" si="5"/>
        <v>5334141026</v>
      </c>
      <c r="AM23" s="52">
        <f t="shared" si="5"/>
        <v>4947628206</v>
      </c>
      <c r="AN23" s="52">
        <f t="shared" si="5"/>
        <v>4557057492</v>
      </c>
      <c r="AO23" s="52">
        <f t="shared" si="5"/>
        <v>4070098489</v>
      </c>
      <c r="AP23" s="52">
        <f t="shared" si="5"/>
        <v>3495128155</v>
      </c>
      <c r="AQ23" s="52">
        <f t="shared" si="5"/>
        <v>3141588026</v>
      </c>
      <c r="AR23" s="52">
        <f t="shared" si="5"/>
        <v>2815395687</v>
      </c>
      <c r="AS23" s="52">
        <f t="shared" si="5"/>
        <v>2434952629</v>
      </c>
      <c r="AT23" s="52">
        <f t="shared" si="5"/>
        <v>2104718322</v>
      </c>
      <c r="AU23" s="52">
        <f t="shared" si="5"/>
        <v>1894483733</v>
      </c>
      <c r="AV23" s="52">
        <f t="shared" si="5"/>
        <v>1781689367</v>
      </c>
    </row>
    <row r="24" spans="1:48" s="76" customFormat="1" x14ac:dyDescent="0.2">
      <c r="A24" s="74" t="s">
        <v>21</v>
      </c>
      <c r="B24" s="75">
        <v>60000000</v>
      </c>
      <c r="C24" s="75">
        <v>39000000</v>
      </c>
      <c r="D24" s="75">
        <v>45000000</v>
      </c>
      <c r="E24" s="75">
        <v>55000000</v>
      </c>
      <c r="F24" s="75">
        <v>101900000</v>
      </c>
      <c r="G24" s="75">
        <v>86100000</v>
      </c>
      <c r="H24" s="75">
        <v>78600000</v>
      </c>
      <c r="I24" s="75">
        <v>183100000</v>
      </c>
      <c r="J24" s="75">
        <v>272600000</v>
      </c>
      <c r="K24" s="75">
        <v>321550000</v>
      </c>
      <c r="L24" s="75">
        <v>393657000</v>
      </c>
      <c r="M24" s="75">
        <v>604980400</v>
      </c>
      <c r="N24" s="75">
        <v>645000000</v>
      </c>
      <c r="O24" s="75">
        <v>590000000</v>
      </c>
      <c r="P24" s="75">
        <v>905000000</v>
      </c>
      <c r="Q24" s="75">
        <v>1058099869</v>
      </c>
      <c r="R24" s="75">
        <v>1261886480</v>
      </c>
      <c r="S24" s="75">
        <v>1420160735</v>
      </c>
      <c r="T24" s="75">
        <v>1694146360</v>
      </c>
      <c r="U24" s="75">
        <v>1979916857</v>
      </c>
      <c r="V24" s="75">
        <v>2235884261</v>
      </c>
      <c r="W24" s="75">
        <v>2643455535</v>
      </c>
      <c r="X24" s="75">
        <v>2719527471</v>
      </c>
      <c r="Y24" s="75">
        <v>3153997281</v>
      </c>
      <c r="Z24" s="75">
        <v>3500310515</v>
      </c>
      <c r="AA24" s="75">
        <v>3552011194</v>
      </c>
      <c r="AB24" s="75">
        <v>3935335449</v>
      </c>
      <c r="AC24" s="75">
        <v>4214754287</v>
      </c>
      <c r="AD24" s="75">
        <v>4862000000</v>
      </c>
      <c r="AE24" s="75">
        <v>5393531577</v>
      </c>
      <c r="AF24" s="75">
        <v>5722201988</v>
      </c>
      <c r="AG24" s="75">
        <v>6169460796</v>
      </c>
      <c r="AH24" s="75">
        <v>6025694408</v>
      </c>
      <c r="AI24" s="75">
        <v>5707401544</v>
      </c>
      <c r="AJ24" s="75">
        <v>5209257778</v>
      </c>
      <c r="AK24" s="75">
        <v>4768492682</v>
      </c>
      <c r="AL24" s="75">
        <v>4479998866</v>
      </c>
      <c r="AM24" s="75">
        <v>3911871805</v>
      </c>
      <c r="AN24" s="75">
        <v>3500290961</v>
      </c>
      <c r="AO24" s="75">
        <v>3142982057</v>
      </c>
      <c r="AP24" s="75">
        <v>2615026484</v>
      </c>
      <c r="AQ24" s="75">
        <v>2287394117</v>
      </c>
      <c r="AR24" s="75">
        <v>1873861231</v>
      </c>
      <c r="AS24" s="75">
        <v>1548811522</v>
      </c>
      <c r="AT24" s="75">
        <v>1268932009</v>
      </c>
      <c r="AU24" s="75">
        <v>1058581768</v>
      </c>
      <c r="AV24" s="75">
        <v>966677007</v>
      </c>
    </row>
    <row r="25" spans="1:48" s="76" customFormat="1" x14ac:dyDescent="0.2">
      <c r="A25" s="74" t="s">
        <v>3</v>
      </c>
      <c r="B25" s="75">
        <v>507500</v>
      </c>
      <c r="C25" s="75">
        <v>991000</v>
      </c>
      <c r="D25" s="75">
        <v>891000</v>
      </c>
      <c r="E25" s="75">
        <v>1240500</v>
      </c>
      <c r="F25" s="75">
        <v>1761000</v>
      </c>
      <c r="G25" s="75">
        <v>2106000</v>
      </c>
      <c r="H25" s="75">
        <v>2214000</v>
      </c>
      <c r="I25" s="75">
        <v>2846000</v>
      </c>
      <c r="J25" s="75">
        <v>2808000</v>
      </c>
      <c r="K25" s="75">
        <v>5998500</v>
      </c>
      <c r="L25" s="75">
        <v>11698969</v>
      </c>
      <c r="M25" s="75">
        <v>18147500</v>
      </c>
      <c r="N25" s="75">
        <v>21274000</v>
      </c>
      <c r="O25" s="75">
        <v>24246331</v>
      </c>
      <c r="P25" s="75">
        <v>106193674</v>
      </c>
      <c r="Q25" s="75">
        <v>117599803</v>
      </c>
      <c r="R25" s="75">
        <v>131227450</v>
      </c>
      <c r="S25" s="75">
        <v>138978980</v>
      </c>
      <c r="T25" s="75">
        <v>160903445</v>
      </c>
      <c r="U25" s="75">
        <v>181076991</v>
      </c>
      <c r="V25" s="75">
        <v>222661591</v>
      </c>
      <c r="W25" s="75">
        <v>256665890</v>
      </c>
      <c r="X25" s="75">
        <v>281799053</v>
      </c>
      <c r="Y25" s="75">
        <v>325628242</v>
      </c>
      <c r="Z25" s="75">
        <v>359110500</v>
      </c>
      <c r="AA25" s="75">
        <v>400766500</v>
      </c>
      <c r="AB25" s="75">
        <v>456753500</v>
      </c>
      <c r="AC25" s="75">
        <v>526283000</v>
      </c>
      <c r="AD25" s="75">
        <v>610693000</v>
      </c>
      <c r="AE25" s="75">
        <v>767294500</v>
      </c>
      <c r="AF25" s="75">
        <v>898358000</v>
      </c>
      <c r="AG25" s="75">
        <v>998373500</v>
      </c>
      <c r="AH25" s="75">
        <v>1014793500</v>
      </c>
      <c r="AI25" s="75">
        <v>1063673000</v>
      </c>
      <c r="AJ25" s="75">
        <v>1073210000</v>
      </c>
      <c r="AK25" s="75">
        <v>944397500</v>
      </c>
      <c r="AL25" s="75">
        <v>910822500</v>
      </c>
      <c r="AM25" s="75">
        <v>882198500</v>
      </c>
      <c r="AN25" s="75">
        <v>857604500</v>
      </c>
      <c r="AO25" s="75">
        <v>813657000</v>
      </c>
      <c r="AP25" s="75">
        <v>783969000</v>
      </c>
      <c r="AQ25" s="75">
        <v>768776000</v>
      </c>
      <c r="AR25" s="75">
        <v>815266000</v>
      </c>
      <c r="AS25" s="75">
        <v>757387000</v>
      </c>
      <c r="AT25" s="75">
        <v>730070000</v>
      </c>
      <c r="AU25" s="75">
        <v>700307500</v>
      </c>
      <c r="AV25" s="75">
        <f>AV7</f>
        <v>676823000</v>
      </c>
    </row>
    <row r="26" spans="1:48" s="2" customFormat="1" x14ac:dyDescent="0.2">
      <c r="A26" s="54" t="s">
        <v>4</v>
      </c>
      <c r="B26" s="57">
        <f>467763+48000</f>
        <v>515763</v>
      </c>
      <c r="C26" s="57">
        <v>-1265578</v>
      </c>
      <c r="D26" s="57">
        <v>-2006229</v>
      </c>
      <c r="E26" s="57">
        <v>-123689</v>
      </c>
      <c r="F26" s="57">
        <v>141455</v>
      </c>
      <c r="G26" s="57">
        <v>1323534</v>
      </c>
      <c r="H26" s="57">
        <v>2733427</v>
      </c>
      <c r="I26" s="57">
        <f>434145+968240</f>
        <v>1402385</v>
      </c>
      <c r="J26" s="57">
        <f>434145+7286799</f>
        <v>7720944</v>
      </c>
      <c r="K26" s="57">
        <f>1064145+3848329</f>
        <v>4912474</v>
      </c>
      <c r="L26" s="57">
        <f>1344145+5357686</f>
        <v>6701831</v>
      </c>
      <c r="M26" s="57">
        <f>1944145+1010000+2707744</f>
        <v>5661889</v>
      </c>
      <c r="N26" s="57">
        <f>2244145+1160000+3312494</f>
        <v>6716639</v>
      </c>
      <c r="O26" s="57">
        <v>6275288</v>
      </c>
      <c r="P26" s="57">
        <v>8057146</v>
      </c>
      <c r="Q26" s="57">
        <v>14486841</v>
      </c>
      <c r="R26" s="57">
        <v>15264177</v>
      </c>
      <c r="S26" s="57">
        <v>18943976</v>
      </c>
      <c r="T26" s="57">
        <v>17100574</v>
      </c>
      <c r="U26" s="57">
        <v>40039560</v>
      </c>
      <c r="V26" s="57">
        <v>58683367</v>
      </c>
      <c r="W26" s="57">
        <v>68707809</v>
      </c>
      <c r="X26" s="57">
        <v>107187895</v>
      </c>
      <c r="Y26" s="57">
        <v>132176267</v>
      </c>
      <c r="Z26" s="57">
        <v>181046564</v>
      </c>
      <c r="AA26" s="57">
        <v>223636189</v>
      </c>
      <c r="AB26" s="57">
        <v>262129230</v>
      </c>
      <c r="AC26" s="57">
        <v>293222673</v>
      </c>
      <c r="AD26" s="57">
        <v>321397928</v>
      </c>
      <c r="AE26" s="57">
        <v>379443377</v>
      </c>
      <c r="AF26" s="57">
        <v>441066319</v>
      </c>
      <c r="AG26" s="57">
        <v>458929196</v>
      </c>
      <c r="AH26" s="57">
        <v>485045125</v>
      </c>
      <c r="AI26" s="57">
        <v>532630554</v>
      </c>
      <c r="AJ26" s="57">
        <v>536411203</v>
      </c>
      <c r="AK26" s="57">
        <v>596461234</v>
      </c>
      <c r="AL26" s="57">
        <v>606555044</v>
      </c>
      <c r="AM26" s="57">
        <v>362713163</v>
      </c>
      <c r="AN26" s="57">
        <v>599959685</v>
      </c>
      <c r="AO26" s="57">
        <v>623020770</v>
      </c>
      <c r="AP26" s="57">
        <v>634730392</v>
      </c>
      <c r="AQ26" s="57">
        <v>681419859</v>
      </c>
      <c r="AR26" s="57">
        <v>709618038</v>
      </c>
      <c r="AS26" s="57">
        <v>721941240</v>
      </c>
      <c r="AT26" s="57">
        <v>741193289</v>
      </c>
      <c r="AU26" s="57">
        <v>780542358</v>
      </c>
      <c r="AV26" s="57">
        <f>AV8</f>
        <v>794524901</v>
      </c>
    </row>
    <row r="27" spans="1:48" s="2" customFormat="1" x14ac:dyDescent="0.2">
      <c r="A27" s="54" t="s">
        <v>22</v>
      </c>
      <c r="B27" s="52">
        <f t="shared" ref="B27:AV27" si="6">B9</f>
        <v>1023263</v>
      </c>
      <c r="C27" s="52">
        <f t="shared" si="6"/>
        <v>-274578</v>
      </c>
      <c r="D27" s="52">
        <f t="shared" si="6"/>
        <v>-1115229</v>
      </c>
      <c r="E27" s="52">
        <f t="shared" si="6"/>
        <v>1116811</v>
      </c>
      <c r="F27" s="52">
        <f t="shared" si="6"/>
        <v>1902455</v>
      </c>
      <c r="G27" s="52">
        <f t="shared" si="6"/>
        <v>3429534</v>
      </c>
      <c r="H27" s="52">
        <f t="shared" si="6"/>
        <v>4947427</v>
      </c>
      <c r="I27" s="52">
        <f t="shared" si="6"/>
        <v>4248385</v>
      </c>
      <c r="J27" s="52">
        <f t="shared" si="6"/>
        <v>10528944</v>
      </c>
      <c r="K27" s="52">
        <f t="shared" si="6"/>
        <v>10910974</v>
      </c>
      <c r="L27" s="52">
        <f t="shared" si="6"/>
        <v>18400800</v>
      </c>
      <c r="M27" s="52">
        <f t="shared" si="6"/>
        <v>23809389</v>
      </c>
      <c r="N27" s="52">
        <f t="shared" si="6"/>
        <v>27990639</v>
      </c>
      <c r="O27" s="52">
        <f t="shared" si="6"/>
        <v>30521619</v>
      </c>
      <c r="P27" s="52">
        <f t="shared" si="6"/>
        <v>114250820</v>
      </c>
      <c r="Q27" s="52">
        <f t="shared" si="6"/>
        <v>132086644</v>
      </c>
      <c r="R27" s="52">
        <f t="shared" si="6"/>
        <v>146491627</v>
      </c>
      <c r="S27" s="52">
        <f t="shared" si="6"/>
        <v>157922956</v>
      </c>
      <c r="T27" s="52">
        <f t="shared" si="6"/>
        <v>178004019</v>
      </c>
      <c r="U27" s="52">
        <f t="shared" si="6"/>
        <v>221116551</v>
      </c>
      <c r="V27" s="52">
        <f t="shared" si="6"/>
        <v>281344958</v>
      </c>
      <c r="W27" s="52">
        <f t="shared" si="6"/>
        <v>325373699</v>
      </c>
      <c r="X27" s="52">
        <f t="shared" si="6"/>
        <v>388986948</v>
      </c>
      <c r="Y27" s="52">
        <f t="shared" si="6"/>
        <v>457804509</v>
      </c>
      <c r="Z27" s="52">
        <f t="shared" si="6"/>
        <v>540157064</v>
      </c>
      <c r="AA27" s="52">
        <f t="shared" si="6"/>
        <v>624402689</v>
      </c>
      <c r="AB27" s="52">
        <f t="shared" si="6"/>
        <v>718882730</v>
      </c>
      <c r="AC27" s="52">
        <f t="shared" si="6"/>
        <v>819505673</v>
      </c>
      <c r="AD27" s="52">
        <f t="shared" si="6"/>
        <v>932090928</v>
      </c>
      <c r="AE27" s="52">
        <f t="shared" si="6"/>
        <v>1146737877</v>
      </c>
      <c r="AF27" s="52">
        <f t="shared" si="6"/>
        <v>1339424319</v>
      </c>
      <c r="AG27" s="52">
        <f t="shared" si="6"/>
        <v>1457302696</v>
      </c>
      <c r="AH27" s="52">
        <f t="shared" si="6"/>
        <v>1499838625</v>
      </c>
      <c r="AI27" s="52">
        <f t="shared" si="6"/>
        <v>1596303554</v>
      </c>
      <c r="AJ27" s="52">
        <f t="shared" si="6"/>
        <v>1609621203</v>
      </c>
      <c r="AK27" s="52">
        <f t="shared" si="6"/>
        <v>1540858734</v>
      </c>
      <c r="AL27" s="52">
        <f t="shared" si="6"/>
        <v>1517377544</v>
      </c>
      <c r="AM27" s="52">
        <f t="shared" si="6"/>
        <v>1244911663</v>
      </c>
      <c r="AN27" s="52">
        <f t="shared" si="6"/>
        <v>1457564185</v>
      </c>
      <c r="AO27" s="52">
        <f t="shared" si="6"/>
        <v>1436677770</v>
      </c>
      <c r="AP27" s="52">
        <f t="shared" si="6"/>
        <v>1418699392</v>
      </c>
      <c r="AQ27" s="52">
        <f t="shared" si="6"/>
        <v>1450195859</v>
      </c>
      <c r="AR27" s="52">
        <f t="shared" si="6"/>
        <v>1524884038</v>
      </c>
      <c r="AS27" s="52">
        <f t="shared" si="6"/>
        <v>1479328240</v>
      </c>
      <c r="AT27" s="52">
        <f t="shared" si="6"/>
        <v>1471263289</v>
      </c>
      <c r="AU27" s="52">
        <f t="shared" si="6"/>
        <v>1480849858</v>
      </c>
      <c r="AV27" s="52">
        <f t="shared" si="6"/>
        <v>1471347901</v>
      </c>
    </row>
    <row r="28" spans="1:48" s="2" customFormat="1" x14ac:dyDescent="0.2">
      <c r="A28" s="54" t="s">
        <v>31</v>
      </c>
      <c r="B28" s="57">
        <v>62303265</v>
      </c>
      <c r="C28" s="57">
        <v>39788372</v>
      </c>
      <c r="D28" s="57">
        <v>44991578</v>
      </c>
      <c r="E28" s="57">
        <v>58785550</v>
      </c>
      <c r="F28" s="57">
        <v>110119597</v>
      </c>
      <c r="G28" s="57">
        <v>95104274</v>
      </c>
      <c r="H28" s="57">
        <v>90098589</v>
      </c>
      <c r="I28" s="57">
        <v>199652870</v>
      </c>
      <c r="J28" s="57">
        <v>298989776</v>
      </c>
      <c r="K28" s="57">
        <v>431724974</v>
      </c>
      <c r="L28" s="57">
        <v>518598768</v>
      </c>
      <c r="M28" s="57">
        <v>685028886</v>
      </c>
      <c r="N28" s="57">
        <v>716400817</v>
      </c>
      <c r="O28" s="57">
        <v>658946691</v>
      </c>
      <c r="P28" s="57">
        <v>1061714733</v>
      </c>
      <c r="Q28" s="57">
        <v>1240055113</v>
      </c>
      <c r="R28" s="57">
        <v>1472768021</v>
      </c>
      <c r="S28" s="57">
        <v>1650192386</v>
      </c>
      <c r="T28" s="57">
        <v>1978934069</v>
      </c>
      <c r="U28" s="57">
        <v>2336650051</v>
      </c>
      <c r="V28" s="57">
        <v>2686913801</v>
      </c>
      <c r="W28" s="57">
        <v>3141882685</v>
      </c>
      <c r="X28" s="57">
        <v>3244305292</v>
      </c>
      <c r="Y28" s="57">
        <v>3743161523</v>
      </c>
      <c r="Z28" s="57">
        <v>4190097465</v>
      </c>
      <c r="AA28" s="57">
        <v>4322432320</v>
      </c>
      <c r="AB28" s="57">
        <v>4817258503</v>
      </c>
      <c r="AC28" s="57">
        <v>5637085525</v>
      </c>
      <c r="AD28" s="57">
        <v>6335898686</v>
      </c>
      <c r="AE28" s="57">
        <v>7215932693</v>
      </c>
      <c r="AF28" s="57">
        <v>7798716231</v>
      </c>
      <c r="AG28" s="57">
        <v>8182426142</v>
      </c>
      <c r="AH28" s="57">
        <v>8047958856</v>
      </c>
      <c r="AI28" s="57">
        <v>7630946993</v>
      </c>
      <c r="AJ28" s="57">
        <v>7299912168</v>
      </c>
      <c r="AK28" s="57">
        <v>6603808994</v>
      </c>
      <c r="AL28" s="57">
        <v>6157067990</v>
      </c>
      <c r="AM28" s="57">
        <v>5417415320</v>
      </c>
      <c r="AN28" s="57">
        <v>5230112931</v>
      </c>
      <c r="AO28" s="57">
        <v>4733982536</v>
      </c>
      <c r="AP28" s="57">
        <v>4090210637</v>
      </c>
      <c r="AQ28" s="57">
        <v>3829161759</v>
      </c>
      <c r="AR28" s="57">
        <v>3473694406</v>
      </c>
      <c r="AS28" s="57">
        <v>3140821759</v>
      </c>
      <c r="AT28" s="57">
        <v>2846516510</v>
      </c>
      <c r="AU28" s="57">
        <v>2614890840</v>
      </c>
      <c r="AV28" s="57">
        <v>2492943453</v>
      </c>
    </row>
    <row r="29" spans="1:48" x14ac:dyDescent="0.2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</row>
    <row r="30" spans="1:48" x14ac:dyDescent="0.2">
      <c r="A30" s="51" t="s">
        <v>23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</row>
    <row r="31" spans="1:48" s="2" customFormat="1" x14ac:dyDescent="0.2">
      <c r="A31" s="54" t="s">
        <v>12</v>
      </c>
      <c r="B31" s="52">
        <f t="shared" ref="B31:AV31" si="7">B15</f>
        <v>7255976</v>
      </c>
      <c r="C31" s="52">
        <f t="shared" si="7"/>
        <v>6574610</v>
      </c>
      <c r="D31" s="52">
        <f t="shared" si="7"/>
        <v>3006901</v>
      </c>
      <c r="E31" s="52">
        <f t="shared" si="7"/>
        <v>6306032</v>
      </c>
      <c r="F31" s="52">
        <f t="shared" si="7"/>
        <v>8719850</v>
      </c>
      <c r="G31" s="52">
        <f t="shared" si="7"/>
        <v>11171727</v>
      </c>
      <c r="H31" s="52">
        <f t="shared" si="7"/>
        <v>10589557</v>
      </c>
      <c r="I31" s="52">
        <f t="shared" si="7"/>
        <v>193085691</v>
      </c>
      <c r="J31" s="52">
        <f t="shared" si="7"/>
        <v>30780421</v>
      </c>
      <c r="K31" s="52">
        <f t="shared" si="7"/>
        <v>56639919</v>
      </c>
      <c r="L31" s="52">
        <f t="shared" si="7"/>
        <v>71164229</v>
      </c>
      <c r="M31" s="52">
        <f t="shared" si="7"/>
        <v>82187558</v>
      </c>
      <c r="N31" s="52">
        <f t="shared" si="7"/>
        <v>95752432</v>
      </c>
      <c r="O31" s="52">
        <f t="shared" si="7"/>
        <v>88871087</v>
      </c>
      <c r="P31" s="52">
        <f t="shared" si="7"/>
        <v>97514819</v>
      </c>
      <c r="Q31" s="52">
        <f t="shared" si="7"/>
        <v>123132847</v>
      </c>
      <c r="R31" s="52">
        <f t="shared" si="7"/>
        <v>146157789</v>
      </c>
      <c r="S31" s="52">
        <f t="shared" si="7"/>
        <v>182082762</v>
      </c>
      <c r="T31" s="52">
        <f t="shared" si="7"/>
        <v>297378698</v>
      </c>
      <c r="U31" s="52">
        <f t="shared" si="7"/>
        <v>262035415</v>
      </c>
      <c r="V31" s="52">
        <f t="shared" si="7"/>
        <v>375216794</v>
      </c>
      <c r="W31" s="52">
        <f t="shared" si="7"/>
        <v>392188233</v>
      </c>
      <c r="X31" s="52">
        <f t="shared" si="7"/>
        <v>569733119</v>
      </c>
      <c r="Y31" s="52">
        <f t="shared" si="7"/>
        <v>486907275</v>
      </c>
      <c r="Z31" s="52">
        <f t="shared" si="7"/>
        <v>456579516</v>
      </c>
      <c r="AA31" s="52">
        <f t="shared" si="7"/>
        <v>486649004</v>
      </c>
      <c r="AB31" s="52">
        <f t="shared" si="7"/>
        <v>474055567</v>
      </c>
      <c r="AC31" s="52">
        <f t="shared" si="7"/>
        <v>522228623</v>
      </c>
      <c r="AD31" s="52">
        <f t="shared" si="7"/>
        <v>590369152</v>
      </c>
      <c r="AE31" s="52">
        <f t="shared" si="7"/>
        <v>670055889</v>
      </c>
      <c r="AF31" s="52">
        <f t="shared" si="7"/>
        <v>787813714</v>
      </c>
      <c r="AG31" s="52">
        <f t="shared" si="7"/>
        <v>755009734</v>
      </c>
      <c r="AH31" s="52">
        <f t="shared" si="7"/>
        <v>777545180</v>
      </c>
      <c r="AI31" s="52">
        <f t="shared" si="7"/>
        <v>738124837</v>
      </c>
      <c r="AJ31" s="52">
        <f t="shared" si="7"/>
        <v>698803718</v>
      </c>
      <c r="AK31" s="52">
        <f t="shared" si="7"/>
        <v>630322470</v>
      </c>
      <c r="AL31" s="52">
        <f t="shared" si="7"/>
        <v>538293758</v>
      </c>
      <c r="AM31" s="52">
        <f t="shared" si="7"/>
        <v>481797500</v>
      </c>
      <c r="AN31" s="52">
        <f t="shared" si="7"/>
        <v>440582048</v>
      </c>
      <c r="AO31" s="52">
        <f t="shared" si="7"/>
        <v>399485427</v>
      </c>
      <c r="AP31" s="52">
        <f t="shared" si="7"/>
        <v>340271786</v>
      </c>
      <c r="AQ31" s="52">
        <f t="shared" si="7"/>
        <v>316029895</v>
      </c>
      <c r="AR31" s="52">
        <f t="shared" si="7"/>
        <v>267763259</v>
      </c>
      <c r="AS31" s="52">
        <f t="shared" si="7"/>
        <v>233618910</v>
      </c>
      <c r="AT31" s="52">
        <f t="shared" si="7"/>
        <v>203047876</v>
      </c>
      <c r="AU31" s="52">
        <f t="shared" si="7"/>
        <v>177008417</v>
      </c>
      <c r="AV31" s="52">
        <f t="shared" si="7"/>
        <v>166815000</v>
      </c>
    </row>
    <row r="32" spans="1:48" s="2" customFormat="1" x14ac:dyDescent="0.2">
      <c r="A32" s="54" t="s">
        <v>24</v>
      </c>
      <c r="B32" s="57">
        <v>6973026</v>
      </c>
      <c r="C32" s="57">
        <v>6574610</v>
      </c>
      <c r="D32" s="57">
        <v>2908453</v>
      </c>
      <c r="E32" s="57">
        <v>6196893</v>
      </c>
      <c r="F32" s="57">
        <v>6027032</v>
      </c>
      <c r="G32" s="57">
        <v>9035198</v>
      </c>
      <c r="H32" s="57">
        <v>9655954</v>
      </c>
      <c r="I32" s="57">
        <v>17017955</v>
      </c>
      <c r="J32" s="57">
        <v>29288702</v>
      </c>
      <c r="K32" s="57">
        <v>54521940</v>
      </c>
      <c r="L32" s="57">
        <v>65023931</v>
      </c>
      <c r="M32" s="57">
        <v>76982341</v>
      </c>
      <c r="N32" s="57">
        <v>92437942</v>
      </c>
      <c r="O32" s="57">
        <v>82940653</v>
      </c>
      <c r="P32" s="57">
        <v>95209917</v>
      </c>
      <c r="Q32" s="57">
        <v>121576348</v>
      </c>
      <c r="R32" s="57">
        <v>140719781</v>
      </c>
      <c r="S32" s="57">
        <v>176447741</v>
      </c>
      <c r="T32" s="57">
        <v>189101029</v>
      </c>
      <c r="U32" s="57">
        <v>228477533</v>
      </c>
      <c r="V32" s="57">
        <v>268377944</v>
      </c>
      <c r="W32" s="57">
        <v>306678259</v>
      </c>
      <c r="X32" s="57">
        <v>342282479</v>
      </c>
      <c r="Y32" s="57">
        <v>350227554</v>
      </c>
      <c r="Z32" s="57">
        <v>411083942</v>
      </c>
      <c r="AA32" s="57">
        <v>434605769</v>
      </c>
      <c r="AB32" s="57">
        <v>446582540</v>
      </c>
      <c r="AC32" s="57">
        <v>499996248</v>
      </c>
      <c r="AD32" s="57">
        <v>563778886</v>
      </c>
      <c r="AE32" s="57">
        <v>626451254</v>
      </c>
      <c r="AF32" s="57">
        <v>751333628</v>
      </c>
      <c r="AG32" s="57">
        <v>723846713</v>
      </c>
      <c r="AH32" s="57">
        <v>747780532</v>
      </c>
      <c r="AI32" s="57">
        <v>710825077</v>
      </c>
      <c r="AJ32" s="57">
        <v>667636680</v>
      </c>
      <c r="AK32" s="57">
        <v>606147853</v>
      </c>
      <c r="AL32" s="57">
        <v>503988838</v>
      </c>
      <c r="AM32" s="57">
        <v>436314925</v>
      </c>
      <c r="AN32" s="57">
        <v>394349856</v>
      </c>
      <c r="AO32" s="57">
        <v>381804177</v>
      </c>
      <c r="AP32" s="57">
        <v>323229144</v>
      </c>
      <c r="AQ32" s="57">
        <v>294979938</v>
      </c>
      <c r="AR32" s="57">
        <v>256570390</v>
      </c>
      <c r="AS32" s="57">
        <v>223199981</v>
      </c>
      <c r="AT32" s="57">
        <v>191808330</v>
      </c>
      <c r="AU32" s="57">
        <v>165950210</v>
      </c>
      <c r="AV32" s="57">
        <v>152501817</v>
      </c>
    </row>
    <row r="33" spans="1:48" s="2" customFormat="1" x14ac:dyDescent="0.2">
      <c r="A33" s="54" t="s">
        <v>26</v>
      </c>
      <c r="B33" s="57">
        <v>3978921</v>
      </c>
      <c r="C33" s="57">
        <v>3389045</v>
      </c>
      <c r="D33" s="57">
        <v>2617242</v>
      </c>
      <c r="E33" s="57">
        <v>4270686</v>
      </c>
      <c r="F33" s="57">
        <v>5339220</v>
      </c>
      <c r="G33" s="57">
        <v>6559045</v>
      </c>
      <c r="H33" s="57">
        <v>6749123</v>
      </c>
      <c r="I33" s="57">
        <v>10268879</v>
      </c>
      <c r="J33" s="57">
        <v>12681458</v>
      </c>
      <c r="K33" s="57">
        <v>25446090</v>
      </c>
      <c r="L33" s="57">
        <v>32408303</v>
      </c>
      <c r="M33" s="57">
        <v>34312335</v>
      </c>
      <c r="N33" s="57">
        <v>37195869</v>
      </c>
      <c r="O33" s="57">
        <v>30223871</v>
      </c>
      <c r="P33" s="57">
        <v>29395582</v>
      </c>
      <c r="Q33" s="57">
        <v>36093309</v>
      </c>
      <c r="R33" s="57">
        <v>51436146</v>
      </c>
      <c r="S33" s="57">
        <v>93135460</v>
      </c>
      <c r="T33" s="57">
        <v>109637810</v>
      </c>
      <c r="U33" s="57">
        <v>96635528</v>
      </c>
      <c r="V33" s="57">
        <v>89463412</v>
      </c>
      <c r="W33" s="57">
        <v>91933900</v>
      </c>
      <c r="X33" s="57">
        <v>83124248</v>
      </c>
      <c r="Y33" s="57">
        <v>70005822</v>
      </c>
      <c r="Z33" s="57">
        <v>74174390</v>
      </c>
      <c r="AA33" s="57">
        <v>77743617</v>
      </c>
      <c r="AB33" s="57">
        <v>75126509</v>
      </c>
      <c r="AC33" s="57">
        <v>88288944</v>
      </c>
      <c r="AD33" s="57">
        <v>97564296</v>
      </c>
      <c r="AE33" s="57">
        <v>112523445</v>
      </c>
      <c r="AF33" s="57">
        <v>128027240</v>
      </c>
      <c r="AG33" s="57">
        <v>135180328</v>
      </c>
      <c r="AH33" s="57">
        <v>140282369</v>
      </c>
      <c r="AI33" s="57">
        <v>137933443</v>
      </c>
      <c r="AJ33" s="57">
        <v>123625585</v>
      </c>
      <c r="AK33" s="57">
        <v>109663504</v>
      </c>
      <c r="AL33" s="57">
        <v>98044982</v>
      </c>
      <c r="AM33" s="57">
        <v>89810630</v>
      </c>
      <c r="AN33" s="57">
        <v>78333259</v>
      </c>
      <c r="AO33" s="57">
        <v>71382088</v>
      </c>
      <c r="AP33" s="57">
        <v>61014485</v>
      </c>
      <c r="AQ33" s="57">
        <v>54180240</v>
      </c>
      <c r="AR33" s="57">
        <v>43736580</v>
      </c>
      <c r="AS33" s="57">
        <v>33461548</v>
      </c>
      <c r="AT33" s="57">
        <v>26754292</v>
      </c>
      <c r="AU33" s="57">
        <v>21650026</v>
      </c>
      <c r="AV33" s="57">
        <v>18429714</v>
      </c>
    </row>
    <row r="34" spans="1:48" s="2" customFormat="1" x14ac:dyDescent="0.2">
      <c r="A34" s="54" t="s">
        <v>13</v>
      </c>
      <c r="B34" s="52">
        <f t="shared" ref="B34:AV37" si="8">B16</f>
        <v>2464005</v>
      </c>
      <c r="C34" s="52">
        <f t="shared" si="8"/>
        <v>0</v>
      </c>
      <c r="D34" s="52">
        <f t="shared" si="8"/>
        <v>3599700</v>
      </c>
      <c r="E34" s="52">
        <f t="shared" si="8"/>
        <v>1960138</v>
      </c>
      <c r="F34" s="52">
        <f t="shared" si="8"/>
        <v>2362378</v>
      </c>
      <c r="G34" s="52">
        <f t="shared" si="8"/>
        <v>2768113</v>
      </c>
      <c r="H34" s="52">
        <f t="shared" si="8"/>
        <v>3084096</v>
      </c>
      <c r="I34" s="52">
        <f t="shared" si="8"/>
        <v>4983794</v>
      </c>
      <c r="J34" s="52">
        <f t="shared" si="8"/>
        <v>5978636</v>
      </c>
      <c r="K34" s="52">
        <f t="shared" si="8"/>
        <v>13416358</v>
      </c>
      <c r="L34" s="52">
        <f t="shared" si="8"/>
        <v>18460711</v>
      </c>
      <c r="M34" s="52">
        <f t="shared" si="8"/>
        <v>20804501</v>
      </c>
      <c r="N34" s="52">
        <f t="shared" si="8"/>
        <v>25382421</v>
      </c>
      <c r="O34" s="52">
        <f t="shared" si="8"/>
        <v>25360098</v>
      </c>
      <c r="P34" s="52">
        <f t="shared" si="8"/>
        <v>30743961</v>
      </c>
      <c r="Q34" s="52">
        <f t="shared" si="8"/>
        <v>34674792</v>
      </c>
      <c r="R34" s="52">
        <f t="shared" si="8"/>
        <v>37655007</v>
      </c>
      <c r="S34" s="52">
        <f t="shared" si="8"/>
        <v>48901308</v>
      </c>
      <c r="T34" s="52">
        <f t="shared" si="8"/>
        <v>48908220</v>
      </c>
      <c r="U34" s="52">
        <f t="shared" si="8"/>
        <v>59840557</v>
      </c>
      <c r="V34" s="52">
        <f t="shared" si="8"/>
        <v>69855264</v>
      </c>
      <c r="W34" s="52">
        <f t="shared" si="8"/>
        <v>87999130</v>
      </c>
      <c r="X34" s="52">
        <f t="shared" si="8"/>
        <v>103710403</v>
      </c>
      <c r="Y34" s="52">
        <f t="shared" si="8"/>
        <v>115880924</v>
      </c>
      <c r="Z34" s="52">
        <f t="shared" si="8"/>
        <v>125507729</v>
      </c>
      <c r="AA34" s="52">
        <f t="shared" si="8"/>
        <v>144638627</v>
      </c>
      <c r="AB34" s="52">
        <f t="shared" si="8"/>
        <v>152360708</v>
      </c>
      <c r="AC34" s="52">
        <f t="shared" si="8"/>
        <v>179780895</v>
      </c>
      <c r="AD34" s="52">
        <f t="shared" si="8"/>
        <v>231178798</v>
      </c>
      <c r="AE34" s="52">
        <f t="shared" si="8"/>
        <v>235055072</v>
      </c>
      <c r="AF34" s="52">
        <f t="shared" si="8"/>
        <v>278583513</v>
      </c>
      <c r="AG34" s="52">
        <f t="shared" si="8"/>
        <v>275376620</v>
      </c>
      <c r="AH34" s="52">
        <f t="shared" si="8"/>
        <v>283684675</v>
      </c>
      <c r="AI34" s="52">
        <f t="shared" si="8"/>
        <v>271788416</v>
      </c>
      <c r="AJ34" s="52">
        <f t="shared" si="8"/>
        <v>260885508</v>
      </c>
      <c r="AK34" s="52">
        <f t="shared" si="8"/>
        <v>226942603</v>
      </c>
      <c r="AL34" s="52">
        <f t="shared" si="8"/>
        <v>230083276</v>
      </c>
      <c r="AM34" s="52">
        <f t="shared" si="8"/>
        <v>217032294</v>
      </c>
      <c r="AN34" s="52">
        <f t="shared" si="8"/>
        <v>232015326</v>
      </c>
      <c r="AO34" s="52">
        <f t="shared" si="8"/>
        <v>189331486</v>
      </c>
      <c r="AP34" s="52">
        <f t="shared" si="8"/>
        <v>168563499</v>
      </c>
      <c r="AQ34" s="52">
        <f t="shared" si="8"/>
        <v>116167400</v>
      </c>
      <c r="AR34" s="52">
        <f t="shared" si="8"/>
        <v>95719768</v>
      </c>
      <c r="AS34" s="52">
        <f t="shared" si="8"/>
        <v>99133333</v>
      </c>
      <c r="AT34" s="52">
        <f t="shared" si="8"/>
        <v>86623064</v>
      </c>
      <c r="AU34" s="52">
        <f t="shared" si="8"/>
        <v>95316575</v>
      </c>
      <c r="AV34" s="52">
        <f t="shared" si="8"/>
        <v>95403613</v>
      </c>
    </row>
    <row r="35" spans="1:48" s="2" customFormat="1" x14ac:dyDescent="0.2">
      <c r="A35" s="54" t="s">
        <v>14</v>
      </c>
      <c r="B35" s="52">
        <f t="shared" si="8"/>
        <v>740924</v>
      </c>
      <c r="C35" s="52">
        <f t="shared" si="8"/>
        <v>0</v>
      </c>
      <c r="D35" s="52">
        <f t="shared" si="8"/>
        <v>849261</v>
      </c>
      <c r="E35" s="52">
        <f t="shared" si="8"/>
        <v>389338</v>
      </c>
      <c r="F35" s="52">
        <f t="shared" si="8"/>
        <v>278100</v>
      </c>
      <c r="G35" s="52">
        <f t="shared" si="8"/>
        <v>406041</v>
      </c>
      <c r="H35" s="52">
        <f t="shared" si="8"/>
        <v>589011</v>
      </c>
      <c r="I35" s="52">
        <f t="shared" si="8"/>
        <v>621398</v>
      </c>
      <c r="J35" s="52">
        <f t="shared" si="8"/>
        <v>4478531</v>
      </c>
      <c r="K35" s="52">
        <f t="shared" si="8"/>
        <v>16775794</v>
      </c>
      <c r="L35" s="52">
        <f t="shared" si="8"/>
        <v>19823590</v>
      </c>
      <c r="M35" s="52">
        <f t="shared" si="8"/>
        <v>28462981</v>
      </c>
      <c r="N35" s="52">
        <f t="shared" si="8"/>
        <v>31047935</v>
      </c>
      <c r="O35" s="52">
        <f t="shared" si="8"/>
        <v>36165722</v>
      </c>
      <c r="P35" s="52">
        <f t="shared" si="8"/>
        <v>34765904</v>
      </c>
      <c r="Q35" s="52">
        <f t="shared" si="8"/>
        <v>42183924</v>
      </c>
      <c r="R35" s="52">
        <f t="shared" si="8"/>
        <v>47615241</v>
      </c>
      <c r="S35" s="52">
        <f t="shared" si="8"/>
        <v>41492738</v>
      </c>
      <c r="T35" s="52">
        <f t="shared" si="8"/>
        <v>45718688</v>
      </c>
      <c r="U35" s="52">
        <f t="shared" si="8"/>
        <v>59091919</v>
      </c>
      <c r="V35" s="52">
        <f t="shared" si="8"/>
        <v>85486029</v>
      </c>
      <c r="W35" s="52">
        <f t="shared" si="8"/>
        <v>121648396</v>
      </c>
      <c r="X35" s="52">
        <f t="shared" si="8"/>
        <v>139748202</v>
      </c>
      <c r="Y35" s="52">
        <f t="shared" si="8"/>
        <v>138611833</v>
      </c>
      <c r="Z35" s="52">
        <f t="shared" si="8"/>
        <v>122237776</v>
      </c>
      <c r="AA35" s="52">
        <f t="shared" si="8"/>
        <v>129175250</v>
      </c>
      <c r="AB35" s="52">
        <f t="shared" si="8"/>
        <v>132973278</v>
      </c>
      <c r="AC35" s="52">
        <f t="shared" si="8"/>
        <v>148708585</v>
      </c>
      <c r="AD35" s="52">
        <f t="shared" si="8"/>
        <v>153363753</v>
      </c>
      <c r="AE35" s="52">
        <f t="shared" si="8"/>
        <v>167309807</v>
      </c>
      <c r="AF35" s="52">
        <f t="shared" si="8"/>
        <v>229087705</v>
      </c>
      <c r="AG35" s="52">
        <f t="shared" si="8"/>
        <v>247554550</v>
      </c>
      <c r="AH35" s="52">
        <f t="shared" si="8"/>
        <v>235470926</v>
      </c>
      <c r="AI35" s="52">
        <f t="shared" si="8"/>
        <v>214162671</v>
      </c>
      <c r="AJ35" s="52">
        <f t="shared" si="8"/>
        <v>251225450</v>
      </c>
      <c r="AK35" s="52">
        <f t="shared" si="8"/>
        <v>176095868</v>
      </c>
      <c r="AL35" s="52">
        <f t="shared" si="8"/>
        <v>162248961</v>
      </c>
      <c r="AM35" s="52">
        <f t="shared" si="8"/>
        <v>127390084</v>
      </c>
      <c r="AN35" s="52">
        <f t="shared" si="8"/>
        <v>105567619</v>
      </c>
      <c r="AO35" s="52">
        <f t="shared" si="8"/>
        <v>97384997</v>
      </c>
      <c r="AP35" s="52">
        <f t="shared" si="8"/>
        <v>99955530</v>
      </c>
      <c r="AQ35" s="52">
        <f t="shared" si="8"/>
        <v>83594872</v>
      </c>
      <c r="AR35" s="52">
        <f t="shared" si="8"/>
        <v>80300443</v>
      </c>
      <c r="AS35" s="52">
        <f t="shared" si="8"/>
        <v>76444797</v>
      </c>
      <c r="AT35" s="52">
        <f t="shared" si="8"/>
        <v>63771154</v>
      </c>
      <c r="AU35" s="52">
        <f t="shared" si="8"/>
        <v>55563328</v>
      </c>
      <c r="AV35" s="52">
        <f t="shared" si="8"/>
        <v>67279278</v>
      </c>
    </row>
    <row r="36" spans="1:48" s="2" customFormat="1" x14ac:dyDescent="0.2">
      <c r="A36" s="54" t="s">
        <v>25</v>
      </c>
      <c r="B36" s="52">
        <f t="shared" si="8"/>
        <v>50565</v>
      </c>
      <c r="C36" s="52">
        <f t="shared" si="8"/>
        <v>1577008</v>
      </c>
      <c r="D36" s="52">
        <f t="shared" si="8"/>
        <v>-806196</v>
      </c>
      <c r="E36" s="52">
        <f t="shared" si="8"/>
        <v>1767451</v>
      </c>
      <c r="F36" s="52">
        <f t="shared" si="8"/>
        <v>860115</v>
      </c>
      <c r="G36" s="52">
        <f t="shared" si="8"/>
        <v>1030579</v>
      </c>
      <c r="H36" s="52">
        <f t="shared" si="8"/>
        <v>1332717</v>
      </c>
      <c r="I36" s="52">
        <f t="shared" si="8"/>
        <v>636589</v>
      </c>
      <c r="J36" s="52">
        <f t="shared" si="8"/>
        <v>6867812</v>
      </c>
      <c r="K36" s="52">
        <f t="shared" si="8"/>
        <v>1271400</v>
      </c>
      <c r="L36" s="52">
        <f t="shared" si="8"/>
        <v>2523975</v>
      </c>
      <c r="M36" s="52">
        <f t="shared" si="8"/>
        <v>4119152</v>
      </c>
      <c r="N36" s="52">
        <f t="shared" si="8"/>
        <v>4649625</v>
      </c>
      <c r="O36" s="52">
        <f t="shared" si="8"/>
        <v>2352233</v>
      </c>
      <c r="P36" s="52">
        <f t="shared" si="8"/>
        <v>9610240</v>
      </c>
      <c r="Q36" s="52">
        <f t="shared" si="8"/>
        <v>15553213</v>
      </c>
      <c r="R36" s="52">
        <f t="shared" si="8"/>
        <v>12025624</v>
      </c>
      <c r="S36" s="52">
        <f t="shared" si="8"/>
        <v>7470023</v>
      </c>
      <c r="T36" s="52">
        <f t="shared" si="8"/>
        <v>6738615</v>
      </c>
      <c r="U36" s="52">
        <f t="shared" si="8"/>
        <v>33075192</v>
      </c>
      <c r="V36" s="52">
        <f t="shared" si="8"/>
        <v>59821660</v>
      </c>
      <c r="W36" s="52">
        <f t="shared" si="8"/>
        <v>36972362</v>
      </c>
      <c r="X36" s="52">
        <f t="shared" si="8"/>
        <v>73789585</v>
      </c>
      <c r="Y36" s="52">
        <f t="shared" si="8"/>
        <v>76028591</v>
      </c>
      <c r="Z36" s="52">
        <f t="shared" si="8"/>
        <v>119815804</v>
      </c>
      <c r="AA36" s="52">
        <f t="shared" si="8"/>
        <v>119775996</v>
      </c>
      <c r="AB36" s="52">
        <f t="shared" si="8"/>
        <v>119477691</v>
      </c>
      <c r="AC36" s="52">
        <f t="shared" si="8"/>
        <v>107343438</v>
      </c>
      <c r="AD36" s="52">
        <f t="shared" si="8"/>
        <v>109847337</v>
      </c>
      <c r="AE36" s="52">
        <f t="shared" si="8"/>
        <v>150689480</v>
      </c>
      <c r="AF36" s="52">
        <f t="shared" si="8"/>
        <v>159023436</v>
      </c>
      <c r="AG36" s="52">
        <f t="shared" si="8"/>
        <v>102779185</v>
      </c>
      <c r="AH36" s="52">
        <f t="shared" si="8"/>
        <v>123176197</v>
      </c>
      <c r="AI36" s="52">
        <f t="shared" si="8"/>
        <v>125374077</v>
      </c>
      <c r="AJ36" s="52">
        <f t="shared" si="8"/>
        <v>65767712</v>
      </c>
      <c r="AK36" s="52">
        <f t="shared" si="8"/>
        <v>120832336</v>
      </c>
      <c r="AL36" s="52">
        <f t="shared" si="8"/>
        <v>58767807</v>
      </c>
      <c r="AM36" s="52">
        <f t="shared" si="8"/>
        <v>60815871</v>
      </c>
      <c r="AN36" s="52">
        <f t="shared" si="8"/>
        <v>43685204</v>
      </c>
      <c r="AO36" s="52">
        <f t="shared" si="8"/>
        <v>59770697</v>
      </c>
      <c r="AP36" s="52">
        <f t="shared" si="8"/>
        <v>24395105</v>
      </c>
      <c r="AQ36" s="52">
        <f t="shared" si="8"/>
        <v>72875173</v>
      </c>
      <c r="AR36" s="52">
        <f t="shared" si="8"/>
        <v>54100393</v>
      </c>
      <c r="AS36" s="52">
        <f t="shared" si="8"/>
        <v>31360623</v>
      </c>
      <c r="AT36" s="52">
        <f t="shared" si="8"/>
        <v>37268594</v>
      </c>
      <c r="AU36" s="52">
        <f t="shared" si="8"/>
        <v>59680924</v>
      </c>
      <c r="AV36" s="52">
        <f t="shared" si="8"/>
        <v>3904104</v>
      </c>
    </row>
    <row r="37" spans="1:48" s="79" customFormat="1" x14ac:dyDescent="0.2">
      <c r="A37" s="77" t="s">
        <v>27</v>
      </c>
      <c r="B37" s="78">
        <f t="shared" si="8"/>
        <v>72126</v>
      </c>
      <c r="C37" s="78">
        <f t="shared" si="8"/>
        <v>-1836380</v>
      </c>
      <c r="D37" s="78">
        <f t="shared" si="8"/>
        <v>-4059302</v>
      </c>
      <c r="E37" s="78">
        <f t="shared" si="8"/>
        <v>-314130</v>
      </c>
      <c r="F37" s="78">
        <f t="shared" si="8"/>
        <v>740152</v>
      </c>
      <c r="G37" s="78">
        <f t="shared" si="8"/>
        <v>1438528</v>
      </c>
      <c r="H37" s="78">
        <f t="shared" si="8"/>
        <v>167327</v>
      </c>
      <c r="I37" s="78">
        <f t="shared" si="8"/>
        <v>2382850</v>
      </c>
      <c r="J37" s="78">
        <f t="shared" si="8"/>
        <v>7641796</v>
      </c>
      <c r="K37" s="78">
        <f t="shared" si="8"/>
        <v>1001677</v>
      </c>
      <c r="L37" s="78">
        <f t="shared" si="8"/>
        <v>-528375</v>
      </c>
      <c r="M37" s="78">
        <f t="shared" si="8"/>
        <v>-792259</v>
      </c>
      <c r="N37" s="78">
        <f t="shared" si="8"/>
        <v>2126207</v>
      </c>
      <c r="O37" s="78">
        <f t="shared" si="8"/>
        <v>-2878604</v>
      </c>
      <c r="P37" s="78">
        <f t="shared" si="8"/>
        <v>2609372</v>
      </c>
      <c r="Q37" s="78">
        <f t="shared" si="8"/>
        <v>10180822</v>
      </c>
      <c r="R37" s="78">
        <f t="shared" si="8"/>
        <v>9451395</v>
      </c>
      <c r="S37" s="78">
        <f t="shared" si="8"/>
        <v>-1446744</v>
      </c>
      <c r="T37" s="78">
        <f t="shared" si="8"/>
        <v>5737693</v>
      </c>
      <c r="U37" s="78">
        <f t="shared" si="8"/>
        <v>35156642</v>
      </c>
      <c r="V37" s="78">
        <f t="shared" si="8"/>
        <v>60867758</v>
      </c>
      <c r="W37" s="78">
        <f t="shared" si="8"/>
        <v>33727347</v>
      </c>
      <c r="X37" s="78">
        <f t="shared" si="8"/>
        <v>69394481</v>
      </c>
      <c r="Y37" s="78">
        <f t="shared" si="8"/>
        <v>69299278</v>
      </c>
      <c r="Z37" s="78">
        <f t="shared" si="8"/>
        <v>119560429</v>
      </c>
      <c r="AA37" s="78">
        <f t="shared" si="8"/>
        <v>112528679</v>
      </c>
      <c r="AB37" s="78">
        <f t="shared" si="8"/>
        <v>113595072</v>
      </c>
      <c r="AC37" s="78">
        <f t="shared" si="8"/>
        <v>105450199</v>
      </c>
      <c r="AD37" s="78">
        <f t="shared" si="8"/>
        <v>108262305</v>
      </c>
      <c r="AE37" s="78">
        <f t="shared" si="8"/>
        <v>140375857</v>
      </c>
      <c r="AF37" s="78">
        <f t="shared" si="8"/>
        <v>152115256</v>
      </c>
      <c r="AG37" s="78">
        <f t="shared" si="8"/>
        <v>96898236</v>
      </c>
      <c r="AH37" s="78">
        <f t="shared" si="8"/>
        <v>118107210</v>
      </c>
      <c r="AI37" s="78">
        <f t="shared" si="8"/>
        <v>114240307</v>
      </c>
      <c r="AJ37" s="78">
        <f t="shared" si="8"/>
        <v>63067175</v>
      </c>
      <c r="AK37" s="78">
        <f t="shared" si="8"/>
        <v>117620495</v>
      </c>
      <c r="AL37" s="78">
        <f t="shared" si="8"/>
        <v>47916539</v>
      </c>
      <c r="AM37" s="78">
        <f t="shared" si="8"/>
        <v>47564492</v>
      </c>
      <c r="AN37" s="78">
        <f t="shared" si="8"/>
        <v>24665844</v>
      </c>
      <c r="AO37" s="78">
        <f t="shared" si="8"/>
        <v>41386856</v>
      </c>
      <c r="AP37" s="78">
        <f t="shared" si="8"/>
        <v>10738272</v>
      </c>
      <c r="AQ37" s="78">
        <f t="shared" si="8"/>
        <v>62087383</v>
      </c>
      <c r="AR37" s="78">
        <f t="shared" si="8"/>
        <v>48006468</v>
      </c>
      <c r="AS37" s="78">
        <f t="shared" si="8"/>
        <v>24579232</v>
      </c>
      <c r="AT37" s="78">
        <f t="shared" si="8"/>
        <v>25899366</v>
      </c>
      <c r="AU37" s="78">
        <f t="shared" si="8"/>
        <v>4478488</v>
      </c>
      <c r="AV37" s="78">
        <f t="shared" si="8"/>
        <v>-14297605</v>
      </c>
    </row>
    <row r="38" spans="1:48" x14ac:dyDescent="0.2">
      <c r="A38" s="80" t="s">
        <v>348</v>
      </c>
      <c r="C38" s="4">
        <f>(B14+C14)/2</f>
        <v>42160277.5</v>
      </c>
      <c r="D38" s="4">
        <f t="shared" ref="D38:AU38" si="9">(C14+D14)/2</f>
        <v>33297508</v>
      </c>
      <c r="E38" s="4">
        <f t="shared" si="9"/>
        <v>39236081.5</v>
      </c>
      <c r="F38" s="4">
        <f t="shared" si="9"/>
        <v>54284843</v>
      </c>
      <c r="G38" s="4">
        <f t="shared" si="9"/>
        <v>70892030.5</v>
      </c>
      <c r="H38" s="4">
        <f t="shared" si="9"/>
        <v>75118600.5</v>
      </c>
      <c r="I38" s="4">
        <f t="shared" si="9"/>
        <v>107447984.5</v>
      </c>
      <c r="J38" s="4">
        <f t="shared" si="9"/>
        <v>173860236</v>
      </c>
      <c r="K38" s="4">
        <f t="shared" si="9"/>
        <v>275511923.5</v>
      </c>
      <c r="L38" s="4">
        <f t="shared" si="9"/>
        <v>401510283.5</v>
      </c>
      <c r="M38" s="4">
        <f t="shared" si="9"/>
        <v>533716072.5</v>
      </c>
      <c r="N38" s="4">
        <f t="shared" si="9"/>
        <v>608064717.5</v>
      </c>
      <c r="O38" s="4">
        <f t="shared" si="9"/>
        <v>579464613.5</v>
      </c>
      <c r="P38" s="4">
        <f t="shared" si="9"/>
        <v>762689792.5</v>
      </c>
      <c r="Q38" s="4">
        <f t="shared" si="9"/>
        <v>1062668547</v>
      </c>
      <c r="R38" s="4">
        <f t="shared" si="9"/>
        <v>1242398679</v>
      </c>
      <c r="S38" s="4">
        <f t="shared" si="9"/>
        <v>1455693900.5</v>
      </c>
      <c r="T38" s="4">
        <f t="shared" si="9"/>
        <v>1742066715.5</v>
      </c>
      <c r="U38" s="4">
        <f t="shared" si="9"/>
        <v>2071664301</v>
      </c>
      <c r="V38" s="4">
        <f t="shared" si="9"/>
        <v>2399244497.5</v>
      </c>
      <c r="W38" s="4">
        <f t="shared" si="9"/>
        <v>2748674435</v>
      </c>
      <c r="X38" s="4">
        <f t="shared" si="9"/>
        <v>2996525803</v>
      </c>
      <c r="Y38" s="4">
        <f t="shared" si="9"/>
        <v>3320956520</v>
      </c>
      <c r="Z38" s="4">
        <f t="shared" si="9"/>
        <v>3792752272.5</v>
      </c>
      <c r="AA38" s="4">
        <f t="shared" si="9"/>
        <v>4053082233.5</v>
      </c>
      <c r="AB38" s="4">
        <f t="shared" si="9"/>
        <v>4344108734</v>
      </c>
      <c r="AC38" s="4">
        <f t="shared" si="9"/>
        <v>5000754767</v>
      </c>
      <c r="AD38" s="4">
        <f t="shared" si="9"/>
        <v>5737015152.5</v>
      </c>
      <c r="AE38" s="4">
        <f t="shared" si="9"/>
        <v>6491982090</v>
      </c>
      <c r="AF38" s="4">
        <f t="shared" si="9"/>
        <v>7245835194.5</v>
      </c>
      <c r="AG38" s="4">
        <f t="shared" si="9"/>
        <v>7768337576</v>
      </c>
      <c r="AH38" s="4">
        <f t="shared" si="9"/>
        <v>7904854962.5</v>
      </c>
      <c r="AI38" s="4">
        <f t="shared" si="9"/>
        <v>7652605864.5</v>
      </c>
      <c r="AJ38" s="4">
        <f t="shared" si="9"/>
        <v>7290741335</v>
      </c>
      <c r="AK38" s="4">
        <f t="shared" si="9"/>
        <v>6641728212.5</v>
      </c>
      <c r="AL38" s="4">
        <f t="shared" si="9"/>
        <v>5751044713.5</v>
      </c>
      <c r="AM38" s="4">
        <f t="shared" si="9"/>
        <v>5140884616</v>
      </c>
      <c r="AN38" s="4">
        <f t="shared" si="9"/>
        <v>4752342849</v>
      </c>
      <c r="AO38" s="4">
        <f>(AN14+AO14)/2</f>
        <v>4313577990.5</v>
      </c>
      <c r="AP38" s="4">
        <f t="shared" si="9"/>
        <v>3782613322</v>
      </c>
      <c r="AQ38" s="4">
        <f t="shared" si="9"/>
        <v>3318358090.5</v>
      </c>
      <c r="AR38" s="4">
        <f t="shared" si="9"/>
        <v>2978491856.5</v>
      </c>
      <c r="AS38" s="4">
        <f t="shared" si="9"/>
        <v>2625174158</v>
      </c>
      <c r="AT38" s="4">
        <f t="shared" si="9"/>
        <v>2269835475.5</v>
      </c>
      <c r="AU38" s="4">
        <f t="shared" si="9"/>
        <v>1999601027.5</v>
      </c>
      <c r="AV38" s="4">
        <f>(AU14+AV14)/2</f>
        <v>1838086550</v>
      </c>
    </row>
    <row r="39" spans="1:48" x14ac:dyDescent="0.2">
      <c r="A39" s="2" t="s">
        <v>402</v>
      </c>
      <c r="B39" s="72"/>
      <c r="C39" s="72">
        <f>C33/C23</f>
        <v>0.12167721757015798</v>
      </c>
      <c r="D39" s="72">
        <f t="shared" ref="D39:AV39" si="10">D33/D23</f>
        <v>6.7555210437220931E-2</v>
      </c>
      <c r="E39" s="72">
        <f t="shared" si="10"/>
        <v>0.10749300728096545</v>
      </c>
      <c r="F39" s="72">
        <f t="shared" si="10"/>
        <v>7.7560085526117956E-2</v>
      </c>
      <c r="G39" s="72">
        <f t="shared" si="10"/>
        <v>8.991857633343131E-2</v>
      </c>
      <c r="H39" s="72">
        <f t="shared" si="10"/>
        <v>8.7318762531062022E-2</v>
      </c>
      <c r="I39" s="72">
        <f t="shared" si="10"/>
        <v>7.4626832914642241E-2</v>
      </c>
      <c r="J39" s="72">
        <f t="shared" si="10"/>
        <v>6.035414491285928E-2</v>
      </c>
      <c r="K39" s="72">
        <f t="shared" si="10"/>
        <v>7.4642450112422931E-2</v>
      </c>
      <c r="L39" s="72">
        <f t="shared" si="10"/>
        <v>7.0130513834316607E-2</v>
      </c>
      <c r="M39" s="72">
        <f t="shared" si="10"/>
        <v>5.668480939519141E-2</v>
      </c>
      <c r="N39" s="72">
        <f t="shared" si="10"/>
        <v>6.0895828698481015E-2</v>
      </c>
      <c r="O39" s="72">
        <f t="shared" si="10"/>
        <v>5.5141197535017401E-2</v>
      </c>
      <c r="P39" s="72">
        <f t="shared" si="10"/>
        <v>3.0079536486456816E-2</v>
      </c>
      <c r="Q39" s="72">
        <f t="shared" si="10"/>
        <v>3.1438102727292118E-2</v>
      </c>
      <c r="R39" s="72">
        <f t="shared" si="10"/>
        <v>3.8479312451537934E-2</v>
      </c>
      <c r="S39" s="72">
        <f t="shared" si="10"/>
        <v>5.9146178055912178E-2</v>
      </c>
      <c r="T39" s="72">
        <f t="shared" si="10"/>
        <v>5.7417996799364546E-2</v>
      </c>
      <c r="U39" s="72">
        <f t="shared" si="10"/>
        <v>4.3259420359246209E-2</v>
      </c>
      <c r="V39" s="72">
        <f t="shared" si="10"/>
        <v>3.4883581139348419E-2</v>
      </c>
      <c r="W39" s="72">
        <f t="shared" si="10"/>
        <v>3.1347648424036027E-2</v>
      </c>
      <c r="X39" s="72">
        <f t="shared" si="10"/>
        <v>2.7161850394772875E-2</v>
      </c>
      <c r="Y39" s="72">
        <f t="shared" si="10"/>
        <v>1.9546060310234689E-2</v>
      </c>
      <c r="Z39" s="72">
        <f t="shared" si="10"/>
        <v>1.8525431790412737E-2</v>
      </c>
      <c r="AA39" s="72">
        <f t="shared" si="10"/>
        <v>1.8951493935436728E-2</v>
      </c>
      <c r="AB39" s="72">
        <f t="shared" si="10"/>
        <v>1.6381795276687632E-2</v>
      </c>
      <c r="AC39" s="72">
        <f t="shared" si="10"/>
        <v>1.6302905802863987E-2</v>
      </c>
      <c r="AD39" s="72">
        <f t="shared" si="10"/>
        <v>1.6103715241129937E-2</v>
      </c>
      <c r="AE39" s="72">
        <f t="shared" si="10"/>
        <v>1.6247774694277094E-2</v>
      </c>
      <c r="AF39" s="72">
        <f t="shared" si="10"/>
        <v>1.6920937975817885E-2</v>
      </c>
      <c r="AG39" s="72">
        <f t="shared" si="10"/>
        <v>1.696013908832035E-2</v>
      </c>
      <c r="AH39" s="72">
        <f t="shared" si="10"/>
        <v>1.7894900679074156E-2</v>
      </c>
      <c r="AI39" s="72">
        <f t="shared" si="10"/>
        <v>1.8474941255513071E-2</v>
      </c>
      <c r="AJ39" s="72">
        <f t="shared" si="10"/>
        <v>1.7374105205562481E-2</v>
      </c>
      <c r="AK39" s="72">
        <f t="shared" si="10"/>
        <v>1.7779575455303814E-2</v>
      </c>
      <c r="AL39" s="72">
        <f t="shared" si="10"/>
        <v>1.8380650515631869E-2</v>
      </c>
      <c r="AM39" s="72">
        <f t="shared" si="10"/>
        <v>1.815225927669473E-2</v>
      </c>
      <c r="AN39" s="72">
        <f t="shared" si="10"/>
        <v>1.7189438390346295E-2</v>
      </c>
      <c r="AO39" s="72">
        <f t="shared" si="10"/>
        <v>1.7538172157976002E-2</v>
      </c>
      <c r="AP39" s="72">
        <f t="shared" si="10"/>
        <v>1.7457009383966351E-2</v>
      </c>
      <c r="AQ39" s="72">
        <f t="shared" si="10"/>
        <v>1.7246131431492794E-2</v>
      </c>
      <c r="AR39" s="72">
        <f t="shared" si="10"/>
        <v>1.5534789728474852E-2</v>
      </c>
      <c r="AS39" s="72">
        <f t="shared" si="10"/>
        <v>1.3742176172742291E-2</v>
      </c>
      <c r="AT39" s="72">
        <f t="shared" si="10"/>
        <v>1.271157841899568E-2</v>
      </c>
      <c r="AU39" s="72">
        <f t="shared" si="10"/>
        <v>1.142792921516207E-2</v>
      </c>
      <c r="AV39" s="72">
        <f t="shared" si="10"/>
        <v>1.03439546429083E-2</v>
      </c>
    </row>
    <row r="40" spans="1:48" s="83" customFormat="1" x14ac:dyDescent="0.2">
      <c r="A40" s="81" t="s">
        <v>355</v>
      </c>
      <c r="B40" s="82"/>
      <c r="C40" s="82">
        <f>C33/C38</f>
        <v>8.038478873864148E-2</v>
      </c>
      <c r="D40" s="82">
        <f t="shared" ref="D40:AV40" si="11">D33/D38</f>
        <v>7.8601738003937105E-2</v>
      </c>
      <c r="E40" s="82">
        <f t="shared" si="11"/>
        <v>0.10884588462280567</v>
      </c>
      <c r="F40" s="82">
        <f t="shared" si="11"/>
        <v>9.8355631239460339E-2</v>
      </c>
      <c r="G40" s="82">
        <f t="shared" si="11"/>
        <v>9.2521612848992948E-2</v>
      </c>
      <c r="H40" s="82">
        <f t="shared" si="11"/>
        <v>8.9846229230535257E-2</v>
      </c>
      <c r="I40" s="82">
        <f t="shared" si="11"/>
        <v>9.5570699141406423E-2</v>
      </c>
      <c r="J40" s="82">
        <f t="shared" si="11"/>
        <v>7.2940531381770354E-2</v>
      </c>
      <c r="K40" s="82">
        <f t="shared" si="11"/>
        <v>9.2359305821477444E-2</v>
      </c>
      <c r="L40" s="82">
        <f t="shared" si="11"/>
        <v>8.071599740234299E-2</v>
      </c>
      <c r="M40" s="82">
        <f t="shared" si="11"/>
        <v>6.4289491675370153E-2</v>
      </c>
      <c r="N40" s="82">
        <f t="shared" si="11"/>
        <v>6.1170904888096886E-2</v>
      </c>
      <c r="O40" s="82">
        <f t="shared" si="11"/>
        <v>5.2158268677436677E-2</v>
      </c>
      <c r="P40" s="82">
        <f t="shared" si="11"/>
        <v>3.8541989533706786E-2</v>
      </c>
      <c r="Q40" s="82">
        <f t="shared" si="11"/>
        <v>3.3964785258672005E-2</v>
      </c>
      <c r="R40" s="82">
        <f t="shared" si="11"/>
        <v>4.1400676666366612E-2</v>
      </c>
      <c r="S40" s="82">
        <f t="shared" si="11"/>
        <v>6.3980112830046162E-2</v>
      </c>
      <c r="T40" s="82">
        <f t="shared" si="11"/>
        <v>6.2935482909179094E-2</v>
      </c>
      <c r="U40" s="82">
        <f t="shared" si="11"/>
        <v>4.6646325832497899E-2</v>
      </c>
      <c r="V40" s="82">
        <f t="shared" si="11"/>
        <v>3.7288159707449739E-2</v>
      </c>
      <c r="W40" s="82">
        <f t="shared" si="11"/>
        <v>3.3446631157683829E-2</v>
      </c>
      <c r="X40" s="82">
        <f t="shared" si="11"/>
        <v>2.7740207648730867E-2</v>
      </c>
      <c r="Y40" s="82">
        <f t="shared" si="11"/>
        <v>2.1080017632992075E-2</v>
      </c>
      <c r="Z40" s="82">
        <f t="shared" si="11"/>
        <v>1.9556877083118273E-2</v>
      </c>
      <c r="AA40" s="82">
        <f t="shared" si="11"/>
        <v>1.9181356933107487E-2</v>
      </c>
      <c r="AB40" s="82">
        <f t="shared" si="11"/>
        <v>1.7293883187593343E-2</v>
      </c>
      <c r="AC40" s="82">
        <f t="shared" si="11"/>
        <v>1.7655123699050208E-2</v>
      </c>
      <c r="AD40" s="82">
        <f t="shared" si="11"/>
        <v>1.7006107428090847E-2</v>
      </c>
      <c r="AE40" s="82">
        <f t="shared" si="11"/>
        <v>1.7332679517604768E-2</v>
      </c>
      <c r="AF40" s="82">
        <f t="shared" si="11"/>
        <v>1.7669079762838099E-2</v>
      </c>
      <c r="AG40" s="82">
        <f t="shared" si="11"/>
        <v>1.7401448724066109E-2</v>
      </c>
      <c r="AH40" s="82">
        <f t="shared" si="11"/>
        <v>1.7746355836443344E-2</v>
      </c>
      <c r="AI40" s="82">
        <f t="shared" si="11"/>
        <v>1.802437567572444E-2</v>
      </c>
      <c r="AJ40" s="82">
        <f t="shared" si="11"/>
        <v>1.6956517769533514E-2</v>
      </c>
      <c r="AK40" s="82">
        <f t="shared" si="11"/>
        <v>1.6511290509239579E-2</v>
      </c>
      <c r="AL40" s="82">
        <f t="shared" si="11"/>
        <v>1.70482037411132E-2</v>
      </c>
      <c r="AM40" s="82">
        <f t="shared" si="11"/>
        <v>1.7469878573131547E-2</v>
      </c>
      <c r="AN40" s="82">
        <f t="shared" si="11"/>
        <v>1.6483082447741135E-2</v>
      </c>
      <c r="AO40" s="82">
        <f>AO33/AO38</f>
        <v>1.6548231690074505E-2</v>
      </c>
      <c r="AP40" s="82">
        <f t="shared" si="11"/>
        <v>1.613024642120689E-2</v>
      </c>
      <c r="AQ40" s="82">
        <f t="shared" si="11"/>
        <v>1.6327424142412637E-2</v>
      </c>
      <c r="AR40" s="82">
        <f t="shared" si="11"/>
        <v>1.4684136169300956E-2</v>
      </c>
      <c r="AS40" s="82">
        <f t="shared" si="11"/>
        <v>1.2746410708801439E-2</v>
      </c>
      <c r="AT40" s="82">
        <f t="shared" si="11"/>
        <v>1.1786886005077771E-2</v>
      </c>
      <c r="AU40" s="82">
        <f t="shared" si="11"/>
        <v>1.0827172872114359E-2</v>
      </c>
      <c r="AV40" s="82">
        <f t="shared" si="11"/>
        <v>1.0026575734423388E-2</v>
      </c>
    </row>
    <row r="41" spans="1:48" s="83" customFormat="1" x14ac:dyDescent="0.2">
      <c r="A41" s="81" t="s">
        <v>357</v>
      </c>
      <c r="B41" s="82"/>
      <c r="C41" s="82">
        <f>C34/C38</f>
        <v>0</v>
      </c>
      <c r="D41" s="82">
        <f t="shared" ref="D41:AV41" si="12">D34/D38</f>
        <v>0.10810718928275354</v>
      </c>
      <c r="E41" s="82">
        <f t="shared" si="12"/>
        <v>4.9957537171493538E-2</v>
      </c>
      <c r="F41" s="82">
        <f t="shared" si="12"/>
        <v>4.351818794060066E-2</v>
      </c>
      <c r="G41" s="82">
        <f t="shared" si="12"/>
        <v>3.9046885531089419E-2</v>
      </c>
      <c r="H41" s="82">
        <f t="shared" si="12"/>
        <v>4.105635594209453E-2</v>
      </c>
      <c r="I41" s="82">
        <f t="shared" si="12"/>
        <v>4.6383317688011169E-2</v>
      </c>
      <c r="J41" s="82">
        <f t="shared" si="12"/>
        <v>3.4387598553587605E-2</v>
      </c>
      <c r="K41" s="82">
        <f t="shared" si="12"/>
        <v>4.8696106613331382E-2</v>
      </c>
      <c r="L41" s="82">
        <f t="shared" si="12"/>
        <v>4.5978177293683191E-2</v>
      </c>
      <c r="M41" s="82">
        <f t="shared" si="12"/>
        <v>3.8980465592030673E-2</v>
      </c>
      <c r="N41" s="82">
        <f t="shared" si="12"/>
        <v>4.1742959703956181E-2</v>
      </c>
      <c r="O41" s="82">
        <f t="shared" si="12"/>
        <v>4.3764705228199412E-2</v>
      </c>
      <c r="P41" s="82">
        <f t="shared" si="12"/>
        <v>4.0309915384110766E-2</v>
      </c>
      <c r="Q41" s="82">
        <f t="shared" si="12"/>
        <v>3.2629922187769431E-2</v>
      </c>
      <c r="R41" s="82">
        <f t="shared" si="12"/>
        <v>3.0308312167804552E-2</v>
      </c>
      <c r="S41" s="82">
        <f t="shared" si="12"/>
        <v>3.359312557619664E-2</v>
      </c>
      <c r="T41" s="82">
        <f t="shared" si="12"/>
        <v>2.8074826047039529E-2</v>
      </c>
      <c r="U41" s="82">
        <f t="shared" si="12"/>
        <v>2.8885257602360933E-2</v>
      </c>
      <c r="V41" s="82">
        <f t="shared" si="12"/>
        <v>2.9115525355081075E-2</v>
      </c>
      <c r="W41" s="82">
        <f t="shared" si="12"/>
        <v>3.2015115678841757E-2</v>
      </c>
      <c r="X41" s="82">
        <f t="shared" si="12"/>
        <v>3.4610215235313296E-2</v>
      </c>
      <c r="Y41" s="82">
        <f t="shared" si="12"/>
        <v>3.4893839561621239E-2</v>
      </c>
      <c r="Z41" s="82">
        <f t="shared" si="12"/>
        <v>3.3091464979143323E-2</v>
      </c>
      <c r="AA41" s="82">
        <f t="shared" si="12"/>
        <v>3.5686082508890701E-2</v>
      </c>
      <c r="AB41" s="82">
        <f t="shared" si="12"/>
        <v>3.5072949902823496E-2</v>
      </c>
      <c r="AC41" s="82">
        <f t="shared" si="12"/>
        <v>3.5950752111736178E-2</v>
      </c>
      <c r="AD41" s="82">
        <f t="shared" si="12"/>
        <v>4.0296006173046274E-2</v>
      </c>
      <c r="AE41" s="82">
        <f t="shared" si="12"/>
        <v>3.6206980971507888E-2</v>
      </c>
      <c r="AF41" s="82">
        <f t="shared" si="12"/>
        <v>3.8447398474017278E-2</v>
      </c>
      <c r="AG41" s="82">
        <f t="shared" si="12"/>
        <v>3.5448590809282823E-2</v>
      </c>
      <c r="AH41" s="82">
        <f t="shared" si="12"/>
        <v>3.5887397851798349E-2</v>
      </c>
      <c r="AI41" s="82">
        <f t="shared" si="12"/>
        <v>3.5515799560619066E-2</v>
      </c>
      <c r="AJ41" s="82">
        <f t="shared" si="12"/>
        <v>3.578312492689744E-2</v>
      </c>
      <c r="AK41" s="82">
        <f t="shared" si="12"/>
        <v>3.4169209539903315E-2</v>
      </c>
      <c r="AL41" s="82">
        <f t="shared" si="12"/>
        <v>4.0007213899746354E-2</v>
      </c>
      <c r="AM41" s="82">
        <f t="shared" si="12"/>
        <v>4.2216916000123665E-2</v>
      </c>
      <c r="AN41" s="82">
        <f t="shared" si="12"/>
        <v>4.8821251616730739E-2</v>
      </c>
      <c r="AO41" s="82">
        <f t="shared" si="12"/>
        <v>4.3891981648871037E-2</v>
      </c>
      <c r="AP41" s="82">
        <f t="shared" si="12"/>
        <v>4.4562709600693362E-2</v>
      </c>
      <c r="AQ41" s="82">
        <f t="shared" si="12"/>
        <v>3.5007493715814214E-2</v>
      </c>
      <c r="AR41" s="82">
        <f t="shared" si="12"/>
        <v>3.2136991676210078E-2</v>
      </c>
      <c r="AS41" s="82">
        <f t="shared" si="12"/>
        <v>3.776257384596729E-2</v>
      </c>
      <c r="AT41" s="82">
        <f t="shared" si="12"/>
        <v>3.8162706035299164E-2</v>
      </c>
      <c r="AU41" s="82">
        <f t="shared" si="12"/>
        <v>4.766779656998351E-2</v>
      </c>
      <c r="AV41" s="82">
        <f t="shared" si="12"/>
        <v>5.1903765358600772E-2</v>
      </c>
    </row>
    <row r="42" spans="1:48" s="83" customFormat="1" x14ac:dyDescent="0.2">
      <c r="A42" s="81" t="s">
        <v>358</v>
      </c>
      <c r="B42" s="82"/>
      <c r="C42" s="82">
        <f>C35/C38</f>
        <v>0</v>
      </c>
      <c r="D42" s="82">
        <f t="shared" ref="D42:AV42" si="13">D35/D38</f>
        <v>2.5505242013906866E-2</v>
      </c>
      <c r="E42" s="82">
        <f t="shared" si="13"/>
        <v>9.922958285220199E-3</v>
      </c>
      <c r="F42" s="82">
        <f t="shared" si="13"/>
        <v>5.1229769606223234E-3</v>
      </c>
      <c r="G42" s="82">
        <f t="shared" si="13"/>
        <v>5.7275972649704259E-3</v>
      </c>
      <c r="H42" s="82">
        <f t="shared" si="13"/>
        <v>7.8410805856267245E-3</v>
      </c>
      <c r="I42" s="82">
        <f t="shared" si="13"/>
        <v>5.7832448220562016E-3</v>
      </c>
      <c r="J42" s="82">
        <f t="shared" si="13"/>
        <v>2.5759374903873936E-2</v>
      </c>
      <c r="K42" s="82">
        <f t="shared" si="13"/>
        <v>6.0889538960370984E-2</v>
      </c>
      <c r="L42" s="82">
        <f t="shared" si="13"/>
        <v>4.9372558598489796E-2</v>
      </c>
      <c r="M42" s="82">
        <f t="shared" si="13"/>
        <v>5.3329817981076444E-2</v>
      </c>
      <c r="N42" s="82">
        <f t="shared" si="13"/>
        <v>5.106024754675887E-2</v>
      </c>
      <c r="O42" s="82">
        <f t="shared" si="13"/>
        <v>6.2412304664398628E-2</v>
      </c>
      <c r="P42" s="82">
        <f t="shared" si="13"/>
        <v>4.5583282144162171E-2</v>
      </c>
      <c r="Q42" s="82">
        <f t="shared" si="13"/>
        <v>3.9696219596494747E-2</v>
      </c>
      <c r="R42" s="82">
        <f t="shared" si="13"/>
        <v>3.832525082715417E-2</v>
      </c>
      <c r="S42" s="82">
        <f t="shared" si="13"/>
        <v>2.8503752049622605E-2</v>
      </c>
      <c r="T42" s="82">
        <f t="shared" si="13"/>
        <v>2.624393635055362E-2</v>
      </c>
      <c r="U42" s="82">
        <f t="shared" si="13"/>
        <v>2.8523887278202417E-2</v>
      </c>
      <c r="V42" s="82">
        <f t="shared" si="13"/>
        <v>3.5630394938521687E-2</v>
      </c>
      <c r="W42" s="82">
        <f t="shared" si="13"/>
        <v>4.4257113338342667E-2</v>
      </c>
      <c r="X42" s="82">
        <f t="shared" si="13"/>
        <v>4.6636742410190418E-2</v>
      </c>
      <c r="Y42" s="82">
        <f t="shared" si="13"/>
        <v>4.1738526886825965E-2</v>
      </c>
      <c r="Z42" s="82">
        <f t="shared" si="13"/>
        <v>3.2229306640010717E-2</v>
      </c>
      <c r="AA42" s="82">
        <f t="shared" si="13"/>
        <v>3.1870868282001759E-2</v>
      </c>
      <c r="AB42" s="82">
        <f t="shared" si="13"/>
        <v>3.0610025241601148E-2</v>
      </c>
      <c r="AC42" s="82">
        <f t="shared" si="13"/>
        <v>2.9737228064317115E-2</v>
      </c>
      <c r="AD42" s="82">
        <f t="shared" si="13"/>
        <v>2.6732324897759629E-2</v>
      </c>
      <c r="AE42" s="82">
        <f t="shared" si="13"/>
        <v>2.5771760408538034E-2</v>
      </c>
      <c r="AF42" s="82">
        <f t="shared" si="13"/>
        <v>3.1616466404575494E-2</v>
      </c>
      <c r="AG42" s="82">
        <f t="shared" si="13"/>
        <v>3.1867120549036246E-2</v>
      </c>
      <c r="AH42" s="82">
        <f t="shared" si="13"/>
        <v>2.9788139961714068E-2</v>
      </c>
      <c r="AI42" s="82">
        <f t="shared" si="13"/>
        <v>2.7985587496866703E-2</v>
      </c>
      <c r="AJ42" s="82">
        <f t="shared" si="13"/>
        <v>3.4458148829662187E-2</v>
      </c>
      <c r="AK42" s="82">
        <f t="shared" si="13"/>
        <v>2.6513561284934917E-2</v>
      </c>
      <c r="AL42" s="82">
        <f t="shared" si="13"/>
        <v>2.8212084774638747E-2</v>
      </c>
      <c r="AM42" s="82">
        <f t="shared" si="13"/>
        <v>2.4779798325666215E-2</v>
      </c>
      <c r="AN42" s="82">
        <f t="shared" si="13"/>
        <v>2.2213805349126654E-2</v>
      </c>
      <c r="AO42" s="82">
        <f t="shared" si="13"/>
        <v>2.2576384897752089E-2</v>
      </c>
      <c r="AP42" s="82">
        <f t="shared" si="13"/>
        <v>2.6424992853128857E-2</v>
      </c>
      <c r="AQ42" s="82">
        <f t="shared" si="13"/>
        <v>2.5191636863821462E-2</v>
      </c>
      <c r="AR42" s="82">
        <f t="shared" si="13"/>
        <v>2.6960101577836897E-2</v>
      </c>
      <c r="AS42" s="82">
        <f t="shared" si="13"/>
        <v>2.9119895442761706E-2</v>
      </c>
      <c r="AT42" s="82">
        <f t="shared" si="13"/>
        <v>2.8095055649772358E-2</v>
      </c>
      <c r="AU42" s="82">
        <f t="shared" si="13"/>
        <v>2.778720716575547E-2</v>
      </c>
      <c r="AV42" s="82">
        <f t="shared" si="13"/>
        <v>3.6602889020650307E-2</v>
      </c>
    </row>
    <row r="43" spans="1:48" x14ac:dyDescent="0.2">
      <c r="A43" s="2" t="s">
        <v>403</v>
      </c>
      <c r="B43" s="72"/>
      <c r="C43" s="72">
        <f>C19/C38</f>
        <v>-4.3557113683608935E-2</v>
      </c>
      <c r="D43" s="72">
        <f t="shared" ref="D43:AV43" si="14">D19/D38</f>
        <v>-0.12191008408196793</v>
      </c>
      <c r="E43" s="72">
        <f t="shared" si="14"/>
        <v>-8.0061511749077181E-3</v>
      </c>
      <c r="F43" s="72">
        <f t="shared" si="14"/>
        <v>1.3634597782662832E-2</v>
      </c>
      <c r="G43" s="72">
        <f t="shared" si="14"/>
        <v>2.0291815453078326E-2</v>
      </c>
      <c r="H43" s="72">
        <f t="shared" si="14"/>
        <v>2.2275042251352914E-3</v>
      </c>
      <c r="I43" s="72">
        <f t="shared" si="14"/>
        <v>2.2176777080448632E-2</v>
      </c>
      <c r="J43" s="72">
        <f t="shared" si="14"/>
        <v>4.3953673225199122E-2</v>
      </c>
      <c r="K43" s="72">
        <f t="shared" si="14"/>
        <v>3.6356938286919551E-3</v>
      </c>
      <c r="L43" s="72">
        <f t="shared" si="14"/>
        <v>-1.3159687851432079E-3</v>
      </c>
      <c r="M43" s="72">
        <f t="shared" si="14"/>
        <v>-1.4844203516093289E-3</v>
      </c>
      <c r="N43" s="72">
        <f t="shared" si="14"/>
        <v>3.4966787889645972E-3</v>
      </c>
      <c r="O43" s="72">
        <f t="shared" si="14"/>
        <v>-4.9676959264398635E-3</v>
      </c>
      <c r="P43" s="72">
        <f t="shared" si="14"/>
        <v>3.421275629567312E-3</v>
      </c>
      <c r="Q43" s="72">
        <f t="shared" si="14"/>
        <v>9.5804303503112913E-3</v>
      </c>
      <c r="R43" s="72">
        <f t="shared" si="14"/>
        <v>7.607376890973014E-3</v>
      </c>
      <c r="S43" s="72">
        <f t="shared" si="14"/>
        <v>-9.9385179775986839E-4</v>
      </c>
      <c r="T43" s="72">
        <f t="shared" si="14"/>
        <v>3.2936126664662173E-3</v>
      </c>
      <c r="U43" s="72">
        <f t="shared" si="14"/>
        <v>1.6970240778406889E-2</v>
      </c>
      <c r="V43" s="72">
        <f t="shared" si="14"/>
        <v>2.5369551983311363E-2</v>
      </c>
      <c r="W43" s="72">
        <f t="shared" si="14"/>
        <v>1.2270404443151159E-2</v>
      </c>
      <c r="X43" s="72">
        <f t="shared" si="14"/>
        <v>2.315831251328624E-2</v>
      </c>
      <c r="Y43" s="72">
        <f t="shared" si="14"/>
        <v>2.0867264471140984E-2</v>
      </c>
      <c r="Z43" s="72">
        <f t="shared" si="14"/>
        <v>3.1523395257553037E-2</v>
      </c>
      <c r="AA43" s="72">
        <f t="shared" si="14"/>
        <v>2.7763729556216515E-2</v>
      </c>
      <c r="AB43" s="72">
        <f t="shared" si="14"/>
        <v>2.6149223915811863E-2</v>
      </c>
      <c r="AC43" s="72">
        <f t="shared" si="14"/>
        <v>2.1086856667290758E-2</v>
      </c>
      <c r="AD43" s="72">
        <f t="shared" si="14"/>
        <v>1.8870841739510293E-2</v>
      </c>
      <c r="AE43" s="72">
        <f t="shared" si="14"/>
        <v>2.162295814343505E-2</v>
      </c>
      <c r="AF43" s="72">
        <f t="shared" si="14"/>
        <v>2.0993474446598524E-2</v>
      </c>
      <c r="AG43" s="72">
        <f t="shared" si="14"/>
        <v>1.2473484198133152E-2</v>
      </c>
      <c r="AH43" s="72">
        <f t="shared" si="14"/>
        <v>1.4941097662169788E-2</v>
      </c>
      <c r="AI43" s="72">
        <f t="shared" si="14"/>
        <v>1.4928288353377017E-2</v>
      </c>
      <c r="AJ43" s="72">
        <f t="shared" si="14"/>
        <v>8.6503103185459531E-3</v>
      </c>
      <c r="AK43" s="72">
        <f t="shared" si="14"/>
        <v>1.7709320712436485E-2</v>
      </c>
      <c r="AL43" s="72">
        <f t="shared" si="14"/>
        <v>8.3317973319735686E-3</v>
      </c>
      <c r="AM43" s="72">
        <f t="shared" si="14"/>
        <v>9.2521998746995411E-3</v>
      </c>
      <c r="AN43" s="72">
        <f t="shared" si="14"/>
        <v>5.1902492694082978E-3</v>
      </c>
      <c r="AO43" s="72">
        <f t="shared" si="14"/>
        <v>9.5945537767366806E-3</v>
      </c>
      <c r="AP43" s="72">
        <f t="shared" si="14"/>
        <v>2.8388500451646216E-3</v>
      </c>
      <c r="AQ43" s="72">
        <f t="shared" si="14"/>
        <v>1.8710272160725384E-2</v>
      </c>
      <c r="AR43" s="72">
        <f t="shared" si="14"/>
        <v>1.6117710006570904E-2</v>
      </c>
      <c r="AS43" s="72">
        <f t="shared" si="14"/>
        <v>9.3628957625903914E-3</v>
      </c>
      <c r="AT43" s="72">
        <f t="shared" si="14"/>
        <v>1.1410239323312577E-2</v>
      </c>
      <c r="AU43" s="72">
        <f t="shared" si="14"/>
        <v>2.2396907875163611E-3</v>
      </c>
      <c r="AV43" s="72">
        <f t="shared" si="14"/>
        <v>-7.7785265334758043E-3</v>
      </c>
    </row>
    <row r="44" spans="1:48" x14ac:dyDescent="0.2">
      <c r="A44" s="2" t="s">
        <v>404</v>
      </c>
      <c r="B44" s="72"/>
      <c r="C44" s="72">
        <f>C32/C38</f>
        <v>0.15594323353303355</v>
      </c>
      <c r="D44" s="72">
        <f t="shared" ref="D44:AV44" si="15">D32/D38</f>
        <v>8.7347467564239348E-2</v>
      </c>
      <c r="E44" s="72">
        <f t="shared" si="15"/>
        <v>0.15793863105315448</v>
      </c>
      <c r="F44" s="72">
        <f t="shared" si="15"/>
        <v>0.11102605565240374</v>
      </c>
      <c r="G44" s="72">
        <f t="shared" si="15"/>
        <v>0.12745012290203764</v>
      </c>
      <c r="H44" s="72">
        <f t="shared" si="15"/>
        <v>0.12854278348809228</v>
      </c>
      <c r="I44" s="72">
        <f t="shared" si="15"/>
        <v>0.15838319424223354</v>
      </c>
      <c r="J44" s="72">
        <f t="shared" si="15"/>
        <v>0.16846118856067813</v>
      </c>
      <c r="K44" s="72">
        <f t="shared" si="15"/>
        <v>0.19789321386665867</v>
      </c>
      <c r="L44" s="72">
        <f t="shared" si="15"/>
        <v>0.16194835766890139</v>
      </c>
      <c r="M44" s="72">
        <f t="shared" si="15"/>
        <v>0.14423837873085602</v>
      </c>
      <c r="N44" s="72">
        <f t="shared" si="15"/>
        <v>0.1520199073217893</v>
      </c>
      <c r="O44" s="72">
        <f t="shared" si="15"/>
        <v>0.14313324932653546</v>
      </c>
      <c r="P44" s="72">
        <f t="shared" si="15"/>
        <v>0.12483439261447832</v>
      </c>
      <c r="Q44" s="72">
        <f t="shared" si="15"/>
        <v>0.11440664950818386</v>
      </c>
      <c r="R44" s="72">
        <f t="shared" si="15"/>
        <v>0.11326459322482908</v>
      </c>
      <c r="S44" s="72">
        <f t="shared" si="15"/>
        <v>0.12121211811040353</v>
      </c>
      <c r="T44" s="72">
        <f t="shared" si="15"/>
        <v>0.10854982034699233</v>
      </c>
      <c r="U44" s="72">
        <f t="shared" si="15"/>
        <v>0.11028694798173287</v>
      </c>
      <c r="V44" s="72">
        <f t="shared" si="15"/>
        <v>0.11185935584291154</v>
      </c>
      <c r="W44" s="72">
        <f t="shared" si="15"/>
        <v>0.1115731478035157</v>
      </c>
      <c r="X44" s="72">
        <f t="shared" si="15"/>
        <v>0.11422644138666208</v>
      </c>
      <c r="Y44" s="72">
        <f t="shared" si="15"/>
        <v>0.10545984323817645</v>
      </c>
      <c r="Z44" s="72">
        <f t="shared" si="15"/>
        <v>0.10838671035296309</v>
      </c>
      <c r="AA44" s="72">
        <f t="shared" si="15"/>
        <v>0.10722846070278233</v>
      </c>
      <c r="AB44" s="72">
        <f t="shared" si="15"/>
        <v>0.10280187889974671</v>
      </c>
      <c r="AC44" s="72">
        <f t="shared" si="15"/>
        <v>9.99841566516073E-2</v>
      </c>
      <c r="AD44" s="72">
        <f t="shared" si="15"/>
        <v>9.8270419549846222E-2</v>
      </c>
      <c r="AE44" s="72">
        <f t="shared" si="15"/>
        <v>9.6496146371839425E-2</v>
      </c>
      <c r="AF44" s="72">
        <f t="shared" si="15"/>
        <v>0.10369179091601544</v>
      </c>
      <c r="AG44" s="72">
        <f t="shared" si="15"/>
        <v>9.3179101180708004E-2</v>
      </c>
      <c r="AH44" s="72">
        <f t="shared" si="15"/>
        <v>9.4597628362242073E-2</v>
      </c>
      <c r="AI44" s="72">
        <f t="shared" si="15"/>
        <v>9.2886670186096587E-2</v>
      </c>
      <c r="AJ44" s="72">
        <f t="shared" si="15"/>
        <v>9.1573222711240243E-2</v>
      </c>
      <c r="AK44" s="72">
        <f t="shared" si="15"/>
        <v>9.1263573817911628E-2</v>
      </c>
      <c r="AL44" s="72">
        <f t="shared" si="15"/>
        <v>8.7634310478744287E-2</v>
      </c>
      <c r="AM44" s="72">
        <f t="shared" si="15"/>
        <v>8.4871565419316147E-2</v>
      </c>
      <c r="AN44" s="72">
        <f t="shared" si="15"/>
        <v>8.2980093930508425E-2</v>
      </c>
      <c r="AO44" s="72">
        <f t="shared" si="15"/>
        <v>8.8512176629439804E-2</v>
      </c>
      <c r="AP44" s="72">
        <f t="shared" si="15"/>
        <v>8.5451278384727269E-2</v>
      </c>
      <c r="AQ44" s="72">
        <f t="shared" si="15"/>
        <v>8.8893341211271543E-2</v>
      </c>
      <c r="AR44" s="72">
        <f t="shared" si="15"/>
        <v>8.6141041292452494E-2</v>
      </c>
      <c r="AS44" s="72">
        <f t="shared" si="15"/>
        <v>8.5022923267706496E-2</v>
      </c>
      <c r="AT44" s="72">
        <f t="shared" si="15"/>
        <v>8.450318627509705E-2</v>
      </c>
      <c r="AU44" s="72">
        <f t="shared" si="15"/>
        <v>8.2991660695173358E-2</v>
      </c>
      <c r="AV44" s="72">
        <f t="shared" si="15"/>
        <v>8.2967701928943441E-2</v>
      </c>
    </row>
    <row r="45" spans="1:48" x14ac:dyDescent="0.2">
      <c r="A45" s="2" t="s">
        <v>398</v>
      </c>
      <c r="C45" s="72">
        <f>C18/C38</f>
        <v>3.7405066890273668E-2</v>
      </c>
      <c r="D45" s="72">
        <f t="shared" ref="D45:AV45" si="16">D18/D38</f>
        <v>-2.4211901983776082E-2</v>
      </c>
      <c r="E45" s="72">
        <f t="shared" si="16"/>
        <v>4.5046572757271898E-2</v>
      </c>
      <c r="F45" s="72">
        <f t="shared" si="16"/>
        <v>1.5844477988082237E-2</v>
      </c>
      <c r="G45" s="72">
        <f t="shared" si="16"/>
        <v>1.4537304020372219E-2</v>
      </c>
      <c r="H45" s="72">
        <f t="shared" si="16"/>
        <v>1.774150464903829E-2</v>
      </c>
      <c r="I45" s="72">
        <f t="shared" si="16"/>
        <v>5.924624858831112E-3</v>
      </c>
      <c r="J45" s="72">
        <f t="shared" si="16"/>
        <v>3.9501913479514664E-2</v>
      </c>
      <c r="K45" s="72">
        <f t="shared" si="16"/>
        <v>4.6146823115624609E-3</v>
      </c>
      <c r="L45" s="72">
        <f t="shared" si="16"/>
        <v>6.2862026297266678E-3</v>
      </c>
      <c r="M45" s="72">
        <f t="shared" si="16"/>
        <v>7.7178713781380455E-3</v>
      </c>
      <c r="N45" s="72">
        <f t="shared" si="16"/>
        <v>7.6465956109351141E-3</v>
      </c>
      <c r="O45" s="72">
        <f t="shared" si="16"/>
        <v>4.0593212168597761E-3</v>
      </c>
      <c r="P45" s="72">
        <f t="shared" si="16"/>
        <v>1.2600457085571917E-2</v>
      </c>
      <c r="Q45" s="72">
        <f t="shared" si="16"/>
        <v>1.4635996373382828E-2</v>
      </c>
      <c r="R45" s="72">
        <f t="shared" si="16"/>
        <v>9.6793599375679957E-3</v>
      </c>
      <c r="S45" s="72">
        <f t="shared" si="16"/>
        <v>5.1315891324640473E-3</v>
      </c>
      <c r="T45" s="72">
        <f t="shared" si="16"/>
        <v>3.8681727513896697E-3</v>
      </c>
      <c r="U45" s="72">
        <f t="shared" si="16"/>
        <v>1.5965517185402327E-2</v>
      </c>
      <c r="V45" s="72">
        <f t="shared" si="16"/>
        <v>2.4933540563428967E-2</v>
      </c>
      <c r="W45" s="72">
        <f t="shared" si="16"/>
        <v>1.3450978962519436E-2</v>
      </c>
      <c r="X45" s="72">
        <f t="shared" si="16"/>
        <v>2.4625045753360397E-2</v>
      </c>
      <c r="Y45" s="72">
        <f t="shared" si="16"/>
        <v>2.2893582177944322E-2</v>
      </c>
      <c r="Z45" s="72">
        <f t="shared" si="16"/>
        <v>3.1590727627729603E-2</v>
      </c>
      <c r="AA45" s="72">
        <f t="shared" si="16"/>
        <v>2.9551829718630851E-2</v>
      </c>
      <c r="AB45" s="72">
        <f t="shared" si="16"/>
        <v>2.7503384080809243E-2</v>
      </c>
      <c r="AC45" s="72">
        <f t="shared" si="16"/>
        <v>2.1465447317744867E-2</v>
      </c>
      <c r="AD45" s="72">
        <f t="shared" si="16"/>
        <v>1.9147123387347545E-2</v>
      </c>
      <c r="AE45" s="72">
        <f t="shared" si="16"/>
        <v>2.3211629038859531E-2</v>
      </c>
      <c r="AF45" s="72">
        <f t="shared" si="16"/>
        <v>2.1946874546733799E-2</v>
      </c>
      <c r="AG45" s="72">
        <f t="shared" si="16"/>
        <v>1.3230525063371679E-2</v>
      </c>
      <c r="AH45" s="72">
        <f t="shared" si="16"/>
        <v>1.5582347504709198E-2</v>
      </c>
      <c r="AI45" s="72">
        <f t="shared" si="16"/>
        <v>1.6383187533752803E-2</v>
      </c>
      <c r="AJ45" s="72">
        <f t="shared" si="16"/>
        <v>9.0207166840873803E-3</v>
      </c>
      <c r="AK45" s="72">
        <f t="shared" si="16"/>
        <v>1.8192905842275911E-2</v>
      </c>
      <c r="AL45" s="72">
        <f t="shared" si="16"/>
        <v>1.0218631557853909E-2</v>
      </c>
      <c r="AM45" s="72">
        <f t="shared" si="16"/>
        <v>1.1829845550456913E-2</v>
      </c>
      <c r="AN45" s="72">
        <f t="shared" si="16"/>
        <v>9.192351096721136E-3</v>
      </c>
      <c r="AO45" s="72">
        <f t="shared" si="16"/>
        <v>1.3856408098250658E-2</v>
      </c>
      <c r="AP45" s="72">
        <f t="shared" si="16"/>
        <v>6.4492727443526939E-3</v>
      </c>
      <c r="AQ45" s="72">
        <f t="shared" si="16"/>
        <v>2.1961214254914662E-2</v>
      </c>
      <c r="AR45" s="72">
        <f t="shared" si="16"/>
        <v>1.8163686726870191E-2</v>
      </c>
      <c r="AS45" s="72">
        <f t="shared" si="16"/>
        <v>1.1946111424429159E-2</v>
      </c>
      <c r="AT45" s="72">
        <f t="shared" si="16"/>
        <v>1.6419072836893811E-2</v>
      </c>
      <c r="AU45" s="72">
        <f t="shared" si="16"/>
        <v>2.9846415949593724E-2</v>
      </c>
      <c r="AV45" s="72">
        <f t="shared" si="16"/>
        <v>2.1240044436427654E-3</v>
      </c>
    </row>
    <row r="46" spans="1:48" x14ac:dyDescent="0.2">
      <c r="A46" s="2" t="s">
        <v>400</v>
      </c>
      <c r="C46" s="72">
        <f>C19/C38</f>
        <v>-4.3557113683608935E-2</v>
      </c>
      <c r="D46" s="72">
        <f t="shared" ref="D46:AV46" si="17">D19/D38</f>
        <v>-0.12191008408196793</v>
      </c>
      <c r="E46" s="72">
        <f t="shared" si="17"/>
        <v>-8.0061511749077181E-3</v>
      </c>
      <c r="F46" s="72">
        <f t="shared" si="17"/>
        <v>1.3634597782662832E-2</v>
      </c>
      <c r="G46" s="72">
        <f t="shared" si="17"/>
        <v>2.0291815453078326E-2</v>
      </c>
      <c r="H46" s="72">
        <f t="shared" si="17"/>
        <v>2.2275042251352914E-3</v>
      </c>
      <c r="I46" s="72">
        <f t="shared" si="17"/>
        <v>2.2176777080448632E-2</v>
      </c>
      <c r="J46" s="72">
        <f t="shared" si="17"/>
        <v>4.3953673225199122E-2</v>
      </c>
      <c r="K46" s="72">
        <f t="shared" si="17"/>
        <v>3.6356938286919551E-3</v>
      </c>
      <c r="L46" s="72">
        <f t="shared" si="17"/>
        <v>-1.3159687851432079E-3</v>
      </c>
      <c r="M46" s="72">
        <f t="shared" si="17"/>
        <v>-1.4844203516093289E-3</v>
      </c>
      <c r="N46" s="72">
        <f t="shared" si="17"/>
        <v>3.4966787889645972E-3</v>
      </c>
      <c r="O46" s="72">
        <f t="shared" si="17"/>
        <v>-4.9676959264398635E-3</v>
      </c>
      <c r="P46" s="72">
        <f t="shared" si="17"/>
        <v>3.421275629567312E-3</v>
      </c>
      <c r="Q46" s="72">
        <f t="shared" si="17"/>
        <v>9.5804303503112913E-3</v>
      </c>
      <c r="R46" s="72">
        <f t="shared" si="17"/>
        <v>7.607376890973014E-3</v>
      </c>
      <c r="S46" s="72">
        <f t="shared" si="17"/>
        <v>-9.9385179775986839E-4</v>
      </c>
      <c r="T46" s="72">
        <f t="shared" si="17"/>
        <v>3.2936126664662173E-3</v>
      </c>
      <c r="U46" s="72">
        <f t="shared" si="17"/>
        <v>1.6970240778406889E-2</v>
      </c>
      <c r="V46" s="72">
        <f t="shared" si="17"/>
        <v>2.5369551983311363E-2</v>
      </c>
      <c r="W46" s="72">
        <f t="shared" si="17"/>
        <v>1.2270404443151159E-2</v>
      </c>
      <c r="X46" s="72">
        <f t="shared" si="17"/>
        <v>2.315831251328624E-2</v>
      </c>
      <c r="Y46" s="72">
        <f t="shared" si="17"/>
        <v>2.0867264471140984E-2</v>
      </c>
      <c r="Z46" s="72">
        <f t="shared" si="17"/>
        <v>3.1523395257553037E-2</v>
      </c>
      <c r="AA46" s="72">
        <f t="shared" si="17"/>
        <v>2.7763729556216515E-2</v>
      </c>
      <c r="AB46" s="72">
        <f t="shared" si="17"/>
        <v>2.6149223915811863E-2</v>
      </c>
      <c r="AC46" s="72">
        <f t="shared" si="17"/>
        <v>2.1086856667290758E-2</v>
      </c>
      <c r="AD46" s="72">
        <f t="shared" si="17"/>
        <v>1.8870841739510293E-2</v>
      </c>
      <c r="AE46" s="72">
        <f t="shared" si="17"/>
        <v>2.162295814343505E-2</v>
      </c>
      <c r="AF46" s="72">
        <f t="shared" si="17"/>
        <v>2.0993474446598524E-2</v>
      </c>
      <c r="AG46" s="72">
        <f t="shared" si="17"/>
        <v>1.2473484198133152E-2</v>
      </c>
      <c r="AH46" s="72">
        <f t="shared" si="17"/>
        <v>1.4941097662169788E-2</v>
      </c>
      <c r="AI46" s="72">
        <f t="shared" si="17"/>
        <v>1.4928288353377017E-2</v>
      </c>
      <c r="AJ46" s="72">
        <f t="shared" si="17"/>
        <v>8.6503103185459531E-3</v>
      </c>
      <c r="AK46" s="72">
        <f t="shared" si="17"/>
        <v>1.7709320712436485E-2</v>
      </c>
      <c r="AL46" s="72">
        <f t="shared" si="17"/>
        <v>8.3317973319735686E-3</v>
      </c>
      <c r="AM46" s="72">
        <f t="shared" si="17"/>
        <v>9.2521998746995411E-3</v>
      </c>
      <c r="AN46" s="72">
        <f t="shared" si="17"/>
        <v>5.1902492694082978E-3</v>
      </c>
      <c r="AO46" s="72">
        <f t="shared" si="17"/>
        <v>9.5945537767366806E-3</v>
      </c>
      <c r="AP46" s="72">
        <f t="shared" si="17"/>
        <v>2.8388500451646216E-3</v>
      </c>
      <c r="AQ46" s="72">
        <f t="shared" si="17"/>
        <v>1.8710272160725384E-2</v>
      </c>
      <c r="AR46" s="72">
        <f t="shared" si="17"/>
        <v>1.6117710006570904E-2</v>
      </c>
      <c r="AS46" s="72">
        <f t="shared" si="17"/>
        <v>9.3628957625903914E-3</v>
      </c>
      <c r="AT46" s="72">
        <f t="shared" si="17"/>
        <v>1.1410239323312577E-2</v>
      </c>
      <c r="AU46" s="72">
        <f t="shared" si="17"/>
        <v>2.2396907875163611E-3</v>
      </c>
      <c r="AV46" s="72">
        <f t="shared" si="17"/>
        <v>-7.7785265334758043E-3</v>
      </c>
    </row>
    <row r="47" spans="1:48" x14ac:dyDescent="0.2">
      <c r="J47" s="4" t="s">
        <v>405</v>
      </c>
    </row>
    <row r="48" spans="1:48" x14ac:dyDescent="0.2">
      <c r="AI48" s="84">
        <v>0.25</v>
      </c>
      <c r="AJ48" s="84">
        <v>0.31</v>
      </c>
      <c r="AK48" s="84">
        <v>0.46</v>
      </c>
      <c r="AL48" s="84">
        <v>0.78</v>
      </c>
      <c r="AM48" s="84">
        <v>0.97</v>
      </c>
      <c r="AN48" s="84">
        <v>1.1200000000000001</v>
      </c>
      <c r="AO48" s="84">
        <v>0.28999999999999998</v>
      </c>
      <c r="AP48" s="84">
        <v>0.36</v>
      </c>
      <c r="AQ48" s="84">
        <v>0.43</v>
      </c>
      <c r="AR48" s="84">
        <v>0.34</v>
      </c>
      <c r="AS48" s="84">
        <v>0.1</v>
      </c>
      <c r="AT48" s="84">
        <v>0.53</v>
      </c>
      <c r="AU48" s="84">
        <v>0.1</v>
      </c>
    </row>
    <row r="51" spans="9:48" x14ac:dyDescent="0.2">
      <c r="J51" s="4" t="s">
        <v>359</v>
      </c>
      <c r="K51" s="4" t="s">
        <v>360</v>
      </c>
      <c r="L51" s="4" t="s">
        <v>361</v>
      </c>
      <c r="M51" s="4" t="s">
        <v>362</v>
      </c>
      <c r="N51" s="4" t="s">
        <v>363</v>
      </c>
      <c r="O51" s="4" t="s">
        <v>364</v>
      </c>
      <c r="P51" s="4" t="s">
        <v>365</v>
      </c>
      <c r="Q51" s="4" t="s">
        <v>366</v>
      </c>
      <c r="R51" s="4" t="s">
        <v>367</v>
      </c>
      <c r="S51" s="4" t="s">
        <v>368</v>
      </c>
      <c r="T51" s="4" t="s">
        <v>369</v>
      </c>
      <c r="U51" s="4" t="s">
        <v>370</v>
      </c>
      <c r="V51" s="4" t="s">
        <v>371</v>
      </c>
      <c r="W51" s="4" t="s">
        <v>372</v>
      </c>
      <c r="X51" s="4" t="s">
        <v>373</v>
      </c>
      <c r="Y51" s="4" t="s">
        <v>374</v>
      </c>
      <c r="Z51" s="4" t="s">
        <v>375</v>
      </c>
      <c r="AA51" s="4" t="s">
        <v>376</v>
      </c>
      <c r="AB51" s="4" t="s">
        <v>377</v>
      </c>
      <c r="AC51" s="4" t="s">
        <v>378</v>
      </c>
      <c r="AD51" s="4" t="s">
        <v>379</v>
      </c>
      <c r="AE51" s="4" t="s">
        <v>380</v>
      </c>
      <c r="AF51" s="4" t="s">
        <v>381</v>
      </c>
      <c r="AG51" s="4" t="s">
        <v>382</v>
      </c>
      <c r="AH51" s="4" t="s">
        <v>383</v>
      </c>
      <c r="AI51" s="4" t="s">
        <v>384</v>
      </c>
      <c r="AJ51" s="4" t="s">
        <v>385</v>
      </c>
      <c r="AK51" s="4" t="s">
        <v>386</v>
      </c>
      <c r="AL51" s="4" t="s">
        <v>387</v>
      </c>
      <c r="AM51" s="4" t="s">
        <v>388</v>
      </c>
      <c r="AN51" s="4" t="s">
        <v>389</v>
      </c>
      <c r="AO51" s="4" t="s">
        <v>390</v>
      </c>
      <c r="AP51" s="4" t="s">
        <v>391</v>
      </c>
      <c r="AQ51" s="4" t="s">
        <v>392</v>
      </c>
      <c r="AR51" s="4" t="s">
        <v>393</v>
      </c>
      <c r="AS51" s="4" t="s">
        <v>394</v>
      </c>
      <c r="AT51" s="4" t="s">
        <v>395</v>
      </c>
      <c r="AU51" s="4" t="s">
        <v>396</v>
      </c>
      <c r="AV51" s="4" t="s">
        <v>397</v>
      </c>
    </row>
    <row r="52" spans="9:48" x14ac:dyDescent="0.2">
      <c r="I52" s="4" t="s">
        <v>355</v>
      </c>
      <c r="J52" s="72">
        <v>7.2940531381770354E-2</v>
      </c>
      <c r="K52" s="72">
        <v>9.2359305821477444E-2</v>
      </c>
      <c r="L52" s="72">
        <v>8.071599740234299E-2</v>
      </c>
      <c r="M52" s="72">
        <v>6.4289491675370153E-2</v>
      </c>
      <c r="N52" s="72">
        <v>6.1170904888096886E-2</v>
      </c>
      <c r="O52" s="72">
        <v>5.2158268677436677E-2</v>
      </c>
      <c r="P52" s="72">
        <v>3.8541989533706786E-2</v>
      </c>
      <c r="Q52" s="72">
        <v>3.3964785258672005E-2</v>
      </c>
      <c r="R52" s="72">
        <v>4.1400676666366612E-2</v>
      </c>
      <c r="S52" s="72">
        <v>6.3980112830046162E-2</v>
      </c>
      <c r="T52" s="72">
        <v>6.2935482909179094E-2</v>
      </c>
      <c r="U52" s="72">
        <v>4.6646325832497899E-2</v>
      </c>
      <c r="V52" s="72">
        <v>3.7288159707449739E-2</v>
      </c>
      <c r="W52" s="72">
        <v>3.3446631157683829E-2</v>
      </c>
      <c r="X52" s="72">
        <v>2.7740207648730867E-2</v>
      </c>
      <c r="Y52" s="72">
        <v>2.1080017632992075E-2</v>
      </c>
      <c r="Z52" s="72">
        <v>1.9556877083118273E-2</v>
      </c>
      <c r="AA52" s="72">
        <v>1.9181356933107487E-2</v>
      </c>
      <c r="AB52" s="72">
        <v>1.7293883187593343E-2</v>
      </c>
      <c r="AC52" s="72">
        <v>1.7655123699050208E-2</v>
      </c>
      <c r="AD52" s="72">
        <v>1.7006107428090847E-2</v>
      </c>
      <c r="AE52" s="72">
        <v>1.7332679517604768E-2</v>
      </c>
      <c r="AF52" s="72">
        <v>1.7669079762838099E-2</v>
      </c>
      <c r="AG52" s="72">
        <v>1.7401448724066109E-2</v>
      </c>
      <c r="AH52" s="72">
        <v>1.7746355836443344E-2</v>
      </c>
      <c r="AI52" s="72">
        <v>1.802437567572444E-2</v>
      </c>
      <c r="AJ52" s="72">
        <v>1.6956517769533514E-2</v>
      </c>
      <c r="AK52" s="72">
        <v>1.6511290509239579E-2</v>
      </c>
      <c r="AL52" s="72">
        <v>1.70482037411132E-2</v>
      </c>
      <c r="AM52" s="72">
        <v>1.7469878573131547E-2</v>
      </c>
      <c r="AN52" s="72">
        <v>1.6483082447741135E-2</v>
      </c>
      <c r="AO52" s="72">
        <v>1.6548231690074505E-2</v>
      </c>
      <c r="AP52" s="72">
        <v>1.613024642120689E-2</v>
      </c>
      <c r="AQ52" s="72">
        <v>1.6327424142412637E-2</v>
      </c>
      <c r="AR52" s="72">
        <v>1.4684136169300956E-2</v>
      </c>
      <c r="AS52" s="72">
        <v>1.2746410708801439E-2</v>
      </c>
      <c r="AT52" s="72">
        <v>1.1786886005077771E-2</v>
      </c>
      <c r="AU52" s="72">
        <v>1.0827172872114359E-2</v>
      </c>
      <c r="AV52" s="72">
        <v>1.0026575734423388E-2</v>
      </c>
    </row>
    <row r="53" spans="9:48" x14ac:dyDescent="0.2">
      <c r="I53" s="4" t="s">
        <v>357</v>
      </c>
      <c r="J53" s="72">
        <v>3.4387598553587605E-2</v>
      </c>
      <c r="K53" s="72">
        <v>4.8696106613331382E-2</v>
      </c>
      <c r="L53" s="72">
        <v>4.5978177293683191E-2</v>
      </c>
      <c r="M53" s="72">
        <v>3.8980465592030673E-2</v>
      </c>
      <c r="N53" s="72">
        <v>4.1742959703956181E-2</v>
      </c>
      <c r="O53" s="72">
        <v>4.3764705228199412E-2</v>
      </c>
      <c r="P53" s="72">
        <v>4.0309915384110766E-2</v>
      </c>
      <c r="Q53" s="72">
        <v>3.2629922187769431E-2</v>
      </c>
      <c r="R53" s="72">
        <v>3.0308312167804552E-2</v>
      </c>
      <c r="S53" s="72">
        <v>3.359312557619664E-2</v>
      </c>
      <c r="T53" s="72">
        <v>2.8074826047039529E-2</v>
      </c>
      <c r="U53" s="72">
        <v>2.8885257602360933E-2</v>
      </c>
      <c r="V53" s="72">
        <v>2.9115525355081075E-2</v>
      </c>
      <c r="W53" s="72">
        <v>3.2015115678841757E-2</v>
      </c>
      <c r="X53" s="72">
        <v>3.4610215235313296E-2</v>
      </c>
      <c r="Y53" s="72">
        <v>3.4893839561621239E-2</v>
      </c>
      <c r="Z53" s="72">
        <v>3.3091464979143323E-2</v>
      </c>
      <c r="AA53" s="72">
        <v>3.5686082508890701E-2</v>
      </c>
      <c r="AB53" s="72">
        <v>3.5072949902823496E-2</v>
      </c>
      <c r="AC53" s="72">
        <v>3.5950752111736178E-2</v>
      </c>
      <c r="AD53" s="72">
        <v>4.0296006173046274E-2</v>
      </c>
      <c r="AE53" s="72">
        <v>3.6206980971507888E-2</v>
      </c>
      <c r="AF53" s="72">
        <v>3.8447398474017278E-2</v>
      </c>
      <c r="AG53" s="72">
        <v>3.5448590809282823E-2</v>
      </c>
      <c r="AH53" s="72">
        <v>3.5887397851798349E-2</v>
      </c>
      <c r="AI53" s="72">
        <v>3.5515799560619066E-2</v>
      </c>
      <c r="AJ53" s="72">
        <v>3.578312492689744E-2</v>
      </c>
      <c r="AK53" s="72">
        <v>3.4169209539903315E-2</v>
      </c>
      <c r="AL53" s="72">
        <v>4.0007213899746354E-2</v>
      </c>
      <c r="AM53" s="72">
        <v>4.2216916000123665E-2</v>
      </c>
      <c r="AN53" s="72">
        <v>4.8821251616730739E-2</v>
      </c>
      <c r="AO53" s="72">
        <v>4.3891981648871037E-2</v>
      </c>
      <c r="AP53" s="72">
        <v>4.4562709600693362E-2</v>
      </c>
      <c r="AQ53" s="72">
        <v>3.5007493715814214E-2</v>
      </c>
      <c r="AR53" s="72">
        <v>3.2136991676210078E-2</v>
      </c>
      <c r="AS53" s="72">
        <v>3.776257384596729E-2</v>
      </c>
      <c r="AT53" s="72">
        <v>3.8162706035299164E-2</v>
      </c>
      <c r="AU53" s="72">
        <v>4.766779656998351E-2</v>
      </c>
      <c r="AV53" s="72">
        <v>5.1903765358600772E-2</v>
      </c>
    </row>
    <row r="54" spans="9:48" x14ac:dyDescent="0.2">
      <c r="I54" s="4" t="s">
        <v>358</v>
      </c>
      <c r="J54" s="72">
        <v>2.5759374903873936E-2</v>
      </c>
      <c r="K54" s="72">
        <v>6.0889538960370984E-2</v>
      </c>
      <c r="L54" s="72">
        <v>4.9372558598489796E-2</v>
      </c>
      <c r="M54" s="72">
        <v>5.3329817981076444E-2</v>
      </c>
      <c r="N54" s="72">
        <v>5.106024754675887E-2</v>
      </c>
      <c r="O54" s="72">
        <v>6.2412304664398628E-2</v>
      </c>
      <c r="P54" s="72">
        <v>4.5583282144162171E-2</v>
      </c>
      <c r="Q54" s="72">
        <v>3.9696219596494747E-2</v>
      </c>
      <c r="R54" s="72">
        <v>3.832525082715417E-2</v>
      </c>
      <c r="S54" s="72">
        <v>2.8503752049622605E-2</v>
      </c>
      <c r="T54" s="72">
        <v>2.624393635055362E-2</v>
      </c>
      <c r="U54" s="72">
        <v>2.8523887278202417E-2</v>
      </c>
      <c r="V54" s="72">
        <v>3.5630394938521687E-2</v>
      </c>
      <c r="W54" s="72">
        <v>4.4257113338342667E-2</v>
      </c>
      <c r="X54" s="72">
        <v>4.6636742410190418E-2</v>
      </c>
      <c r="Y54" s="72">
        <v>4.1738526886825965E-2</v>
      </c>
      <c r="Z54" s="72">
        <v>3.2229306640010717E-2</v>
      </c>
      <c r="AA54" s="72">
        <v>3.1870868282001759E-2</v>
      </c>
      <c r="AB54" s="72">
        <v>3.0610025241601148E-2</v>
      </c>
      <c r="AC54" s="72">
        <v>2.9737228064317115E-2</v>
      </c>
      <c r="AD54" s="72">
        <v>2.6732324897759629E-2</v>
      </c>
      <c r="AE54" s="72">
        <v>2.5771760408538034E-2</v>
      </c>
      <c r="AF54" s="72">
        <v>3.1616466404575494E-2</v>
      </c>
      <c r="AG54" s="72">
        <v>3.1867120549036246E-2</v>
      </c>
      <c r="AH54" s="72">
        <v>2.9788139961714068E-2</v>
      </c>
      <c r="AI54" s="72">
        <v>2.7985587496866703E-2</v>
      </c>
      <c r="AJ54" s="72">
        <v>3.4458148829662187E-2</v>
      </c>
      <c r="AK54" s="72">
        <v>2.6513561284934917E-2</v>
      </c>
      <c r="AL54" s="72">
        <v>2.8212084774638747E-2</v>
      </c>
      <c r="AM54" s="72">
        <v>2.4779798325666215E-2</v>
      </c>
      <c r="AN54" s="72">
        <v>2.2213805349126654E-2</v>
      </c>
      <c r="AO54" s="72">
        <v>2.2576384897752089E-2</v>
      </c>
      <c r="AP54" s="72">
        <v>2.6424992853128857E-2</v>
      </c>
      <c r="AQ54" s="72">
        <v>2.5191636863821462E-2</v>
      </c>
      <c r="AR54" s="72">
        <v>2.6960101577836897E-2</v>
      </c>
      <c r="AS54" s="72">
        <v>2.9119895442761706E-2</v>
      </c>
      <c r="AT54" s="72">
        <v>2.8095055649772358E-2</v>
      </c>
      <c r="AU54" s="72">
        <v>2.778720716575547E-2</v>
      </c>
      <c r="AV54" s="72">
        <v>3.6602889020650307E-2</v>
      </c>
    </row>
  </sheetData>
  <phoneticPr fontId="2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58</vt:i4>
      </vt:variant>
      <vt:variant>
        <vt:lpstr>名前付き一覧</vt:lpstr>
      </vt:variant>
      <vt:variant>
        <vt:i4>12</vt:i4>
      </vt:variant>
    </vt:vector>
  </HeadingPairs>
  <TitlesOfParts>
    <vt:vector size="70" baseType="lpstr">
      <vt:lpstr>Sheet1</vt:lpstr>
      <vt:lpstr>Sheet2</vt:lpstr>
      <vt:lpstr>主要経営指標グラフ</vt:lpstr>
      <vt:lpstr>期中純増減推移グラフ</vt:lpstr>
      <vt:lpstr>期末残高推移グラフ</vt:lpstr>
      <vt:lpstr>1件平均貸付額グラフ</vt:lpstr>
      <vt:lpstr>利息収入推移グラフ</vt:lpstr>
      <vt:lpstr>償却率・剰余金比率</vt:lpstr>
      <vt:lpstr>借入利息・人件費率・物件費率</vt:lpstr>
      <vt:lpstr>出資金・剰余金</vt:lpstr>
      <vt:lpstr>グラフ集</vt:lpstr>
      <vt:lpstr>Sheet3</vt:lpstr>
      <vt:lpstr>1971</vt:lpstr>
      <vt:lpstr>1974</vt:lpstr>
      <vt:lpstr>1975</vt:lpstr>
      <vt:lpstr>1976</vt:lpstr>
      <vt:lpstr>1977</vt:lpstr>
      <vt:lpstr>1978</vt:lpstr>
      <vt:lpstr>1979</vt:lpstr>
      <vt:lpstr>1980</vt:lpstr>
      <vt:lpstr>1981</vt:lpstr>
      <vt:lpstr>1982</vt:lpstr>
      <vt:lpstr>1983</vt:lpstr>
      <vt:lpstr>1984</vt:lpstr>
      <vt:lpstr>1985</vt:lpstr>
      <vt:lpstr>1986</vt:lpstr>
      <vt:lpstr>1987</vt:lpstr>
      <vt:lpstr>1988</vt:lpstr>
      <vt:lpstr>1989</vt:lpstr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'1件平均貸付額グラフ'!Print_Area</vt:lpstr>
      <vt:lpstr>Sheet2!Print_Area</vt:lpstr>
      <vt:lpstr>期中純増減推移グラフ!Print_Area</vt:lpstr>
      <vt:lpstr>期末残高推移グラフ!Print_Area</vt:lpstr>
      <vt:lpstr>利息収入推移グラフ!Print_Area</vt:lpstr>
      <vt:lpstr>'1件平均貸付額グラフ'!Print_Titles</vt:lpstr>
      <vt:lpstr>Sheet1!Print_Titles</vt:lpstr>
      <vt:lpstr>Sheet2!Print_Titles</vt:lpstr>
      <vt:lpstr>期中純増減推移グラフ!Print_Titles</vt:lpstr>
      <vt:lpstr>期末残高推移グラフ!Print_Titles</vt:lpstr>
      <vt:lpstr>主要経営指標グラフ!Print_Titles</vt:lpstr>
      <vt:lpstr>利息収入推移グラフ!Print_Titles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kaori</dc:creator>
  <cp:lastModifiedBy>Takashi</cp:lastModifiedBy>
  <cp:lastPrinted>2020-02-20T07:19:24Z</cp:lastPrinted>
  <dcterms:created xsi:type="dcterms:W3CDTF">2020-01-16T23:08:12Z</dcterms:created>
  <dcterms:modified xsi:type="dcterms:W3CDTF">2021-02-04T08:18:48Z</dcterms:modified>
</cp:coreProperties>
</file>